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anil.negi\Desktop\p supp\suppl_data\"/>
    </mc:Choice>
  </mc:AlternateContent>
  <xr:revisionPtr revIDLastSave="0" documentId="13_ncr:1_{8AD4DB69-EF08-4BDA-B9E4-55676B70E609}" xr6:coauthVersionLast="47" xr6:coauthVersionMax="47" xr10:uidLastSave="{00000000-0000-0000-0000-000000000000}"/>
  <bookViews>
    <workbookView xWindow="-120" yWindow="-120" windowWidth="21840" windowHeight="13140" xr2:uid="{B58C0F1E-B565-4CF4-816F-46A94420203A}"/>
  </bookViews>
  <sheets>
    <sheet name="ST-2"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Z18" i="1" l="1"/>
  <c r="I27" i="1"/>
  <c r="AM27" i="1" s="1"/>
  <c r="I28" i="1"/>
  <c r="AA28" i="1" s="1"/>
  <c r="I26" i="1"/>
  <c r="AY26" i="1" s="1"/>
  <c r="AZ26" i="1" s="1"/>
  <c r="I25" i="1"/>
  <c r="AU25" i="1" s="1"/>
  <c r="I24" i="1"/>
  <c r="AI24" i="1" s="1"/>
  <c r="I23" i="1"/>
  <c r="W23" i="1" s="1"/>
  <c r="I22" i="1"/>
  <c r="AQ22" i="1" s="1"/>
  <c r="I21" i="1"/>
  <c r="O21" i="1" s="1"/>
  <c r="I20" i="1"/>
  <c r="AA20" i="1" s="1"/>
  <c r="I19" i="1"/>
  <c r="AM19" i="1" s="1"/>
  <c r="I18" i="1"/>
  <c r="AY18" i="1" s="1"/>
  <c r="I17" i="1"/>
  <c r="AQ17" i="1" s="1"/>
  <c r="I16" i="1"/>
  <c r="W16" i="1" s="1"/>
  <c r="I15" i="1"/>
  <c r="AQ15" i="1" s="1"/>
  <c r="I14" i="1"/>
  <c r="O14" i="1" s="1"/>
  <c r="I13" i="1"/>
  <c r="AA13" i="1" s="1"/>
  <c r="I12" i="1"/>
  <c r="AM12" i="1" s="1"/>
  <c r="I11" i="1"/>
  <c r="AY11" i="1" s="1"/>
  <c r="AZ11" i="1" s="1"/>
  <c r="I10" i="1"/>
  <c r="AY10" i="1" s="1"/>
  <c r="AZ10" i="1" s="1"/>
  <c r="I9" i="1"/>
  <c r="O9" i="1" s="1"/>
  <c r="P21" i="1" l="1"/>
  <c r="P9" i="1"/>
  <c r="AR22" i="1"/>
  <c r="AR17" i="1"/>
  <c r="S17" i="1"/>
  <c r="T17" i="1" s="1"/>
  <c r="S10" i="1"/>
  <c r="T10" i="1" s="1"/>
  <c r="O28" i="1"/>
  <c r="AI9" i="1"/>
  <c r="O12" i="1"/>
  <c r="P12" i="1" s="1"/>
  <c r="AM25" i="1"/>
  <c r="AU24" i="1"/>
  <c r="W9" i="1"/>
  <c r="X9" i="1" s="1"/>
  <c r="W10" i="1"/>
  <c r="X10" i="1" s="1"/>
  <c r="AA12" i="1"/>
  <c r="AB12" i="1" s="1"/>
  <c r="O18" i="1"/>
  <c r="AA18" i="1"/>
  <c r="AQ20" i="1"/>
  <c r="AR20" i="1" s="1"/>
  <c r="O13" i="1"/>
  <c r="S13" i="1"/>
  <c r="W14" i="1"/>
  <c r="X14" i="1" s="1"/>
  <c r="AI28" i="1"/>
  <c r="AM21" i="1"/>
  <c r="AN21" i="1" s="1"/>
  <c r="AQ14" i="1"/>
  <c r="W13" i="1"/>
  <c r="X13" i="1" s="1"/>
  <c r="AM18" i="1"/>
  <c r="AI21" i="1"/>
  <c r="O27" i="1"/>
  <c r="S25" i="1"/>
  <c r="W28" i="1"/>
  <c r="AA27" i="1"/>
  <c r="AA10" i="1"/>
  <c r="AI20" i="1"/>
  <c r="AM14" i="1"/>
  <c r="AU17" i="1"/>
  <c r="AY25" i="1"/>
  <c r="AZ25" i="1" s="1"/>
  <c r="O26" i="1"/>
  <c r="P26" i="1" s="1"/>
  <c r="S24" i="1"/>
  <c r="T24" i="1" s="1"/>
  <c r="W25" i="1"/>
  <c r="X25" i="1" s="1"/>
  <c r="AA26" i="1"/>
  <c r="AE27" i="1"/>
  <c r="AI14" i="1"/>
  <c r="AM11" i="1"/>
  <c r="AY24" i="1"/>
  <c r="AZ24" i="1" s="1"/>
  <c r="AQ13" i="1"/>
  <c r="AR13" i="1" s="1"/>
  <c r="O11" i="1"/>
  <c r="P11" i="1" s="1"/>
  <c r="AA11" i="1"/>
  <c r="AB11" i="1" s="1"/>
  <c r="O20" i="1"/>
  <c r="P20" i="1" s="1"/>
  <c r="S20" i="1"/>
  <c r="W21" i="1"/>
  <c r="X21" i="1" s="1"/>
  <c r="AA25" i="1"/>
  <c r="AE24" i="1"/>
  <c r="AI13" i="1"/>
  <c r="AM10" i="1"/>
  <c r="AN10" i="1" s="1"/>
  <c r="AY20" i="1"/>
  <c r="AZ20" i="1" s="1"/>
  <c r="AI27" i="1"/>
  <c r="O19" i="1"/>
  <c r="P19" i="1" s="1"/>
  <c r="W20" i="1"/>
  <c r="X20" i="1" s="1"/>
  <c r="AA19" i="1"/>
  <c r="AE17" i="1"/>
  <c r="AM26" i="1"/>
  <c r="AQ21" i="1"/>
  <c r="AR21" i="1" s="1"/>
  <c r="AY17" i="1"/>
  <c r="AZ17" i="1" s="1"/>
  <c r="AY16" i="1"/>
  <c r="AZ16" i="1" s="1"/>
  <c r="W22" i="1"/>
  <c r="X22" i="1" s="1"/>
  <c r="S23" i="1"/>
  <c r="AE22" i="1"/>
  <c r="AE15" i="1"/>
  <c r="AI19" i="1"/>
  <c r="AM24" i="1"/>
  <c r="AN24" i="1" s="1"/>
  <c r="AQ9" i="1"/>
  <c r="AR9" i="1" s="1"/>
  <c r="AQ12" i="1"/>
  <c r="AR12" i="1" s="1"/>
  <c r="AU15" i="1"/>
  <c r="O25" i="1"/>
  <c r="P25" i="1" s="1"/>
  <c r="O10" i="1"/>
  <c r="S22" i="1"/>
  <c r="S15" i="1"/>
  <c r="W27" i="1"/>
  <c r="W19" i="1"/>
  <c r="X19" i="1" s="1"/>
  <c r="W12" i="1"/>
  <c r="AA24" i="1"/>
  <c r="AA17" i="1"/>
  <c r="AE9" i="1"/>
  <c r="AE21" i="1"/>
  <c r="AE14" i="1"/>
  <c r="AI26" i="1"/>
  <c r="AJ26" i="1" s="1"/>
  <c r="AI18" i="1"/>
  <c r="AJ18" i="1" s="1"/>
  <c r="AI11" i="1"/>
  <c r="AM23" i="1"/>
  <c r="AM16" i="1"/>
  <c r="AN16" i="1" s="1"/>
  <c r="AQ26" i="1"/>
  <c r="AQ18" i="1"/>
  <c r="AR18" i="1" s="1"/>
  <c r="AQ11" i="1"/>
  <c r="AR11" i="1" s="1"/>
  <c r="AU21" i="1"/>
  <c r="AV21" i="1" s="1"/>
  <c r="AU14" i="1"/>
  <c r="AV14" i="1" s="1"/>
  <c r="AY22" i="1"/>
  <c r="AZ22" i="1" s="1"/>
  <c r="AY15" i="1"/>
  <c r="AZ15" i="1" s="1"/>
  <c r="AE23" i="1"/>
  <c r="AU23" i="1"/>
  <c r="AU16" i="1"/>
  <c r="AI12" i="1"/>
  <c r="AM17" i="1"/>
  <c r="AN17" i="1" s="1"/>
  <c r="AQ19" i="1"/>
  <c r="AR19" i="1" s="1"/>
  <c r="AU22" i="1"/>
  <c r="AY23" i="1"/>
  <c r="AZ23" i="1" s="1"/>
  <c r="O24" i="1"/>
  <c r="P24" i="1" s="1"/>
  <c r="O17" i="1"/>
  <c r="P17" i="1" s="1"/>
  <c r="S9" i="1"/>
  <c r="S21" i="1"/>
  <c r="S14" i="1"/>
  <c r="T14" i="1" s="1"/>
  <c r="W26" i="1"/>
  <c r="X26" i="1" s="1"/>
  <c r="W18" i="1"/>
  <c r="W11" i="1"/>
  <c r="X11" i="1" s="1"/>
  <c r="AA23" i="1"/>
  <c r="AA16" i="1"/>
  <c r="AE28" i="1"/>
  <c r="AE20" i="1"/>
  <c r="AE13" i="1"/>
  <c r="AF13" i="1" s="1"/>
  <c r="AI25" i="1"/>
  <c r="AJ25" i="1" s="1"/>
  <c r="AI10" i="1"/>
  <c r="AM22" i="1"/>
  <c r="AM15" i="1"/>
  <c r="AN15" i="1" s="1"/>
  <c r="AQ25" i="1"/>
  <c r="AR25" i="1" s="1"/>
  <c r="AQ10" i="1"/>
  <c r="AR10" i="1" s="1"/>
  <c r="AU20" i="1"/>
  <c r="AU13" i="1"/>
  <c r="AV13" i="1" s="1"/>
  <c r="AY21" i="1"/>
  <c r="AZ21" i="1" s="1"/>
  <c r="AY14" i="1"/>
  <c r="AZ14" i="1" s="1"/>
  <c r="AY13" i="1"/>
  <c r="AZ13" i="1" s="1"/>
  <c r="AE16" i="1"/>
  <c r="AF16" i="1" s="1"/>
  <c r="O16" i="1"/>
  <c r="P16" i="1" s="1"/>
  <c r="AE12" i="1"/>
  <c r="AI17" i="1"/>
  <c r="AQ24" i="1"/>
  <c r="AR24" i="1" s="1"/>
  <c r="AU9" i="1"/>
  <c r="AV9" i="1" s="1"/>
  <c r="AU12" i="1"/>
  <c r="O22" i="1"/>
  <c r="P22" i="1" s="1"/>
  <c r="O15" i="1"/>
  <c r="P15" i="1" s="1"/>
  <c r="S27" i="1"/>
  <c r="S19" i="1"/>
  <c r="S12" i="1"/>
  <c r="W24" i="1"/>
  <c r="X24" i="1" s="1"/>
  <c r="W17" i="1"/>
  <c r="X17" i="1" s="1"/>
  <c r="AA9" i="1"/>
  <c r="AA21" i="1"/>
  <c r="AA14" i="1"/>
  <c r="AB14" i="1" s="1"/>
  <c r="AE26" i="1"/>
  <c r="AE18" i="1"/>
  <c r="AE11" i="1"/>
  <c r="AI23" i="1"/>
  <c r="AJ23" i="1" s="1"/>
  <c r="AI16" i="1"/>
  <c r="AJ16" i="1" s="1"/>
  <c r="AM28" i="1"/>
  <c r="AM20" i="1"/>
  <c r="AM13" i="1"/>
  <c r="AN13" i="1" s="1"/>
  <c r="AQ23" i="1"/>
  <c r="AR23" i="1" s="1"/>
  <c r="AQ16" i="1"/>
  <c r="AR16" i="1" s="1"/>
  <c r="AU26" i="1"/>
  <c r="AV26" i="1" s="1"/>
  <c r="AU18" i="1"/>
  <c r="AV18" i="1" s="1"/>
  <c r="AU11" i="1"/>
  <c r="AV11" i="1" s="1"/>
  <c r="AY9" i="1"/>
  <c r="AZ9" i="1" s="1"/>
  <c r="AY19" i="1"/>
  <c r="AZ19" i="1" s="1"/>
  <c r="AY12" i="1"/>
  <c r="AZ12" i="1" s="1"/>
  <c r="W15" i="1"/>
  <c r="S16" i="1"/>
  <c r="O23" i="1"/>
  <c r="P23" i="1" s="1"/>
  <c r="S28" i="1"/>
  <c r="AA22" i="1"/>
  <c r="AB22" i="1" s="1"/>
  <c r="AA15" i="1"/>
  <c r="AE19" i="1"/>
  <c r="AM9" i="1"/>
  <c r="AN9" i="1" s="1"/>
  <c r="AU19" i="1"/>
  <c r="S26" i="1"/>
  <c r="S18" i="1"/>
  <c r="S11" i="1"/>
  <c r="T11" i="1" s="1"/>
  <c r="AE25" i="1"/>
  <c r="AF25" i="1" s="1"/>
  <c r="AE10" i="1"/>
  <c r="AI22" i="1"/>
  <c r="AI15" i="1"/>
  <c r="AJ15" i="1" s="1"/>
  <c r="AU10" i="1"/>
  <c r="K15" i="1"/>
  <c r="L15" i="1" s="1"/>
  <c r="K11" i="1"/>
  <c r="L11" i="1" s="1"/>
  <c r="K26" i="1"/>
  <c r="L26" i="1" s="1"/>
  <c r="K21" i="1"/>
  <c r="L21" i="1" s="1"/>
  <c r="K18" i="1"/>
  <c r="L18" i="1" s="1"/>
  <c r="K14" i="1"/>
  <c r="L14" i="1" s="1"/>
  <c r="K22" i="1"/>
  <c r="L22" i="1" s="1"/>
  <c r="K28" i="1"/>
  <c r="K20" i="1"/>
  <c r="L20" i="1" s="1"/>
  <c r="K13" i="1"/>
  <c r="L13" i="1" s="1"/>
  <c r="K9" i="1"/>
  <c r="L9" i="1" s="1"/>
  <c r="K27" i="1"/>
  <c r="K19" i="1"/>
  <c r="L19" i="1" s="1"/>
  <c r="K12" i="1"/>
  <c r="L12" i="1" s="1"/>
  <c r="K25" i="1"/>
  <c r="L25" i="1" s="1"/>
  <c r="K10" i="1"/>
  <c r="L10" i="1" s="1"/>
  <c r="K24" i="1"/>
  <c r="L24" i="1" s="1"/>
  <c r="K17" i="1"/>
  <c r="L17" i="1" s="1"/>
  <c r="K23" i="1"/>
  <c r="L23" i="1" s="1"/>
  <c r="K16" i="1"/>
  <c r="L16" i="1" s="1"/>
  <c r="AF19" i="1" l="1"/>
  <c r="AN20" i="1"/>
  <c r="AB21" i="1"/>
  <c r="AN23" i="1"/>
  <c r="AB24" i="1"/>
  <c r="T20" i="1"/>
  <c r="AJ20" i="1"/>
  <c r="AB18" i="1"/>
  <c r="AJ9" i="1"/>
  <c r="AJ22" i="1"/>
  <c r="AN22" i="1"/>
  <c r="AV15" i="1"/>
  <c r="AF10" i="1"/>
  <c r="AB15" i="1"/>
  <c r="AB9" i="1"/>
  <c r="AV12" i="1"/>
  <c r="AJ10" i="1"/>
  <c r="X18" i="1"/>
  <c r="AV22" i="1"/>
  <c r="AJ11" i="1"/>
  <c r="X12" i="1"/>
  <c r="AB26" i="1"/>
  <c r="AB10" i="1"/>
  <c r="AR14" i="1"/>
  <c r="P18" i="1"/>
  <c r="AV25" i="1"/>
  <c r="AJ17" i="1"/>
  <c r="T21" i="1"/>
  <c r="AJ12" i="1"/>
  <c r="T15" i="1"/>
  <c r="AJ19" i="1"/>
  <c r="AN26" i="1"/>
  <c r="AJ13" i="1"/>
  <c r="T25" i="1"/>
  <c r="AB20" i="1"/>
  <c r="AJ24" i="1"/>
  <c r="T12" i="1"/>
  <c r="AF20" i="1"/>
  <c r="T26" i="1"/>
  <c r="AF18" i="1"/>
  <c r="AF12" i="1"/>
  <c r="AF17" i="1"/>
  <c r="AV24" i="1"/>
  <c r="AN12" i="1"/>
  <c r="X16" i="1"/>
  <c r="T18" i="1"/>
  <c r="AF11" i="1"/>
  <c r="AV20" i="1"/>
  <c r="AF14" i="1"/>
  <c r="T16" i="1"/>
  <c r="T19" i="1"/>
  <c r="T9" i="1"/>
  <c r="AV16" i="1"/>
  <c r="AF21" i="1"/>
  <c r="T22" i="1"/>
  <c r="AF15" i="1"/>
  <c r="AF24" i="1"/>
  <c r="T13" i="1"/>
  <c r="AV10" i="1"/>
  <c r="AV19" i="1"/>
  <c r="X15" i="1"/>
  <c r="AF26" i="1"/>
  <c r="AB16" i="1"/>
  <c r="AV23" i="1"/>
  <c r="AR26" i="1"/>
  <c r="AR15" i="1"/>
  <c r="AF9" i="1"/>
  <c r="P14" i="1"/>
  <c r="P10" i="1"/>
  <c r="AF22" i="1"/>
  <c r="AB19" i="1"/>
  <c r="AB25" i="1"/>
  <c r="AN11" i="1"/>
  <c r="AV17" i="1"/>
  <c r="AJ21" i="1"/>
  <c r="P13" i="1"/>
  <c r="AN25" i="1"/>
  <c r="AN19" i="1"/>
  <c r="X23" i="1"/>
  <c r="AB23" i="1"/>
  <c r="AF23" i="1"/>
  <c r="AB17" i="1"/>
  <c r="T23" i="1"/>
  <c r="AJ14" i="1"/>
  <c r="AN14" i="1"/>
  <c r="AN18" i="1"/>
  <c r="AB13" i="1"/>
</calcChain>
</file>

<file path=xl/sharedStrings.xml><?xml version="1.0" encoding="utf-8"?>
<sst xmlns="http://schemas.openxmlformats.org/spreadsheetml/2006/main" count="155" uniqueCount="86">
  <si>
    <t>ASPV</t>
  </si>
  <si>
    <t>ACLSV</t>
  </si>
  <si>
    <t>ARWV-1</t>
  </si>
  <si>
    <t>CiVA</t>
  </si>
  <si>
    <t>PyVA</t>
  </si>
  <si>
    <t>PvEV-1</t>
  </si>
  <si>
    <t>PvEV-2</t>
  </si>
  <si>
    <t>PvEV-3</t>
  </si>
  <si>
    <t>L</t>
  </si>
  <si>
    <t>M</t>
  </si>
  <si>
    <t>S</t>
  </si>
  <si>
    <t>RNA 1</t>
  </si>
  <si>
    <t>RNA 2</t>
  </si>
  <si>
    <t>Extraction protocol</t>
  </si>
  <si>
    <t>Library</t>
  </si>
  <si>
    <t>Total nº contigs</t>
  </si>
  <si>
    <t>Contigs &gt;=1000 bp</t>
  </si>
  <si>
    <t>N50 Length (bp)</t>
  </si>
  <si>
    <t>Total nº reads</t>
  </si>
  <si>
    <t>Mapping</t>
  </si>
  <si>
    <t>RPKM</t>
  </si>
  <si>
    <t>Horizontal coverage</t>
  </si>
  <si>
    <t>dsRNA</t>
  </si>
  <si>
    <t>W20, W18, W10, W13</t>
  </si>
  <si>
    <t>W11, W15, W16, W19</t>
  </si>
  <si>
    <t>W2, W4, W5, W7</t>
  </si>
  <si>
    <t>W6, W21, W24, W12</t>
  </si>
  <si>
    <t>W14, Y13, Y15, Y16</t>
  </si>
  <si>
    <t>Y9, Y11, Y20, Y21</t>
  </si>
  <si>
    <t>Z1, Z11, Z12, Z13</t>
  </si>
  <si>
    <t>Z2, Z3, Z14, Z15</t>
  </si>
  <si>
    <t>Z4, Z5, Z6, Z7</t>
  </si>
  <si>
    <t>V14, V18, V5, V15</t>
  </si>
  <si>
    <t>V6, V7, V8, V9</t>
  </si>
  <si>
    <t>V10, V11, V17, V16</t>
  </si>
  <si>
    <t>V12, V13, X5, X8</t>
  </si>
  <si>
    <t>X14, X10, X12, X9</t>
  </si>
  <si>
    <t>X11, X20, X22, X23</t>
  </si>
  <si>
    <t>X13, X16, X19</t>
  </si>
  <si>
    <t>X18, X21</t>
  </si>
  <si>
    <t>Total RNA</t>
  </si>
  <si>
    <t>T1</t>
  </si>
  <si>
    <t>Z2, Z14</t>
  </si>
  <si>
    <t>T2</t>
  </si>
  <si>
    <t>Z3, Z15</t>
  </si>
  <si>
    <t>Pool</t>
  </si>
  <si>
    <t>L1-1</t>
  </si>
  <si>
    <t>L1-2</t>
  </si>
  <si>
    <t>L1-3</t>
  </si>
  <si>
    <t>L2-1</t>
  </si>
  <si>
    <t>L2-2</t>
  </si>
  <si>
    <t>L2-3</t>
  </si>
  <si>
    <t>L3-1</t>
  </si>
  <si>
    <t>L3-2</t>
  </si>
  <si>
    <t>L4-1</t>
  </si>
  <si>
    <t>L4-2</t>
  </si>
  <si>
    <t>L5-1</t>
  </si>
  <si>
    <t>L5-2</t>
  </si>
  <si>
    <t>L5-3</t>
  </si>
  <si>
    <t>L6-1</t>
  </si>
  <si>
    <t>L6-2</t>
  </si>
  <si>
    <t>L7-1</t>
  </si>
  <si>
    <t>L7-2</t>
  </si>
  <si>
    <t>L1</t>
  </si>
  <si>
    <t>L2</t>
  </si>
  <si>
    <t>L3</t>
  </si>
  <si>
    <t>L4</t>
  </si>
  <si>
    <t>L5</t>
  </si>
  <si>
    <t>L6</t>
  </si>
  <si>
    <t>L7</t>
  </si>
  <si>
    <t>Bean</t>
  </si>
  <si>
    <t>Trees included in the pool</t>
  </si>
  <si>
    <r>
      <t>RV</t>
    </r>
    <r>
      <rPr>
        <vertAlign val="subscript"/>
        <sz val="12"/>
        <color theme="1"/>
        <rFont val="Times New Roman"/>
        <family val="1"/>
      </rPr>
      <t>PyVA</t>
    </r>
  </si>
  <si>
    <r>
      <t>RV</t>
    </r>
    <r>
      <rPr>
        <vertAlign val="subscript"/>
        <sz val="12"/>
        <color theme="1"/>
        <rFont val="Times New Roman"/>
        <family val="1"/>
      </rPr>
      <t>ASPV</t>
    </r>
  </si>
  <si>
    <r>
      <t>RV</t>
    </r>
    <r>
      <rPr>
        <vertAlign val="subscript"/>
        <sz val="12"/>
        <color theme="1"/>
        <rFont val="Times New Roman"/>
        <family val="1"/>
      </rPr>
      <t>ACLSV</t>
    </r>
  </si>
  <si>
    <r>
      <t>RV</t>
    </r>
    <r>
      <rPr>
        <vertAlign val="subscript"/>
        <sz val="12"/>
        <color theme="1"/>
        <rFont val="Times New Roman"/>
        <family val="1"/>
      </rPr>
      <t>ARWV-1(L)</t>
    </r>
  </si>
  <si>
    <r>
      <t>RV</t>
    </r>
    <r>
      <rPr>
        <vertAlign val="subscript"/>
        <sz val="12"/>
        <color theme="1"/>
        <rFont val="Times New Roman"/>
        <family val="1"/>
      </rPr>
      <t>ARWV-1(M)</t>
    </r>
  </si>
  <si>
    <r>
      <t>RV</t>
    </r>
    <r>
      <rPr>
        <vertAlign val="subscript"/>
        <sz val="12"/>
        <color theme="1"/>
        <rFont val="Times New Roman"/>
        <family val="1"/>
      </rPr>
      <t>ARWV-1(S)</t>
    </r>
  </si>
  <si>
    <r>
      <t>RV</t>
    </r>
    <r>
      <rPr>
        <vertAlign val="subscript"/>
        <sz val="12"/>
        <color theme="1"/>
        <rFont val="Times New Roman"/>
        <family val="1"/>
      </rPr>
      <t>CiVA(1)</t>
    </r>
  </si>
  <si>
    <r>
      <t>RV</t>
    </r>
    <r>
      <rPr>
        <vertAlign val="subscript"/>
        <sz val="12"/>
        <color theme="1"/>
        <rFont val="Times New Roman"/>
        <family val="1"/>
      </rPr>
      <t>CiVA(2)</t>
    </r>
  </si>
  <si>
    <r>
      <t>RAa</t>
    </r>
    <r>
      <rPr>
        <vertAlign val="subscript"/>
        <sz val="12"/>
        <color theme="1"/>
        <rFont val="Times New Roman"/>
        <family val="1"/>
      </rPr>
      <t>2</t>
    </r>
  </si>
  <si>
    <r>
      <t>RAa</t>
    </r>
    <r>
      <rPr>
        <vertAlign val="subscript"/>
        <sz val="12"/>
        <color theme="1"/>
        <rFont val="Times New Roman"/>
        <family val="1"/>
      </rPr>
      <t>1</t>
    </r>
  </si>
  <si>
    <r>
      <t>RAa</t>
    </r>
    <r>
      <rPr>
        <vertAlign val="subscript"/>
        <sz val="12"/>
        <color theme="1"/>
        <rFont val="Times New Roman"/>
        <family val="1"/>
      </rPr>
      <t>3</t>
    </r>
  </si>
  <si>
    <t>Alien control (ac)</t>
  </si>
  <si>
    <t>na</t>
  </si>
  <si>
    <r>
      <rPr>
        <b/>
        <sz val="12"/>
        <rFont val="Times New Roman"/>
        <family val="1"/>
      </rPr>
      <t xml:space="preserve">Supplementary Table S2. </t>
    </r>
    <r>
      <rPr>
        <sz val="12"/>
        <rFont val="Times New Roman"/>
        <family val="1"/>
      </rPr>
      <t>Results of the mapped reads in each pool of samples (extracted with dsRNA and total RNA protocols) and for each virus. The column called mapping includes the number of reads mapped, the reads per kilo base per million (RPKM), and the third column called RVx/RAx shows the percentage of RPKM present in one sample compared to the sample with the highest RPKM for each virus (cross-contamination ratio), which will have a 100%. The column called coverage shows the horizontal coverage of the mapping, thus how much of the genome is covered by the mapped reads. Rows colored in red are considered true positives (TP), rows colored in yellow are considered likely false positives (FP) because they are below the positivity threshold, and rows colored in white are considered true negatives (TN). Rows colored in light grey represent cross-contamination events between the alien control and the pools analyzed, and are thus true negatives (TN). Abbreviations: apple stem pitting virus (ASPV), apple chlorotic leaf spot virus (ACLSV), apple rubbery wood virus 1 (ARWV-1), phaseolus vulgaris endornavirus 1 (PvEV-1), 2 (PvEV-2), and 3 (PvEV-3), citrus virus A (CiVA), the new virus pyrus virus A (PyVA), reads per kilobase per million (RPKM), not analyzed (na).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</si>
</sst>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7" x14ac:knownFonts="1">
    <font>
      <sz val="11"/>
      <color theme="1"/>
      <name val="Calibri"/>
      <family val="2"/>
      <scheme val="minor"/>
    </font>
    <font>
      <sz val="12"/>
      <color theme="1"/>
      <name val="Times New Roman"/>
      <family val="1"/>
    </font>
    <font>
      <sz val="12"/>
      <name val="Times New Roman"/>
      <family val="1"/>
    </font>
    <font>
      <sz val="11"/>
      <color theme="1"/>
      <name val="Calibri"/>
      <family val="2"/>
      <scheme val="minor"/>
    </font>
    <font>
      <vertAlign val="subscript"/>
      <sz val="12"/>
      <color theme="1"/>
      <name val="Times New Roman"/>
      <family val="1"/>
    </font>
    <font>
      <u/>
      <sz val="12"/>
      <color theme="1"/>
      <name val="Times New Roman"/>
      <family val="1"/>
    </font>
    <font>
      <b/>
      <sz val="12"/>
      <name val="Times New Roman"/>
      <family val="1"/>
    </font>
  </fonts>
  <fills count="6">
    <fill>
      <patternFill patternType="none"/>
    </fill>
    <fill>
      <patternFill patternType="gray125"/>
    </fill>
    <fill>
      <patternFill patternType="solid">
        <fgColor theme="0"/>
        <bgColor indexed="64"/>
      </patternFill>
    </fill>
    <fill>
      <patternFill patternType="solid">
        <fgColor rgb="FFFF0000"/>
        <bgColor indexed="64"/>
      </patternFill>
    </fill>
    <fill>
      <patternFill patternType="solid">
        <fgColor theme="6"/>
        <bgColor indexed="64"/>
      </patternFill>
    </fill>
    <fill>
      <patternFill patternType="solid">
        <fgColor rgb="FFFFFF00"/>
        <bgColor indexed="64"/>
      </patternFill>
    </fill>
  </fills>
  <borders count="47">
    <border>
      <left/>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top style="thin">
        <color indexed="64"/>
      </top>
      <bottom/>
      <diagonal/>
    </border>
    <border>
      <left style="thin">
        <color indexed="64"/>
      </left>
      <right/>
      <top/>
      <bottom style="medium">
        <color indexed="64"/>
      </bottom>
      <diagonal/>
    </border>
  </borders>
  <cellStyleXfs count="2">
    <xf numFmtId="0" fontId="0" fillId="0" borderId="0"/>
    <xf numFmtId="9" fontId="3" fillId="0" borderId="0" applyFont="0" applyFill="0" applyBorder="0" applyAlignment="0" applyProtection="0"/>
  </cellStyleXfs>
  <cellXfs count="103">
    <xf numFmtId="0" fontId="0" fillId="0" borderId="0" xfId="0"/>
    <xf numFmtId="0" fontId="1" fillId="2" borderId="0" xfId="0" applyFont="1" applyFill="1" applyAlignment="1">
      <alignment vertical="center"/>
    </xf>
    <xf numFmtId="0" fontId="1" fillId="2" borderId="0" xfId="0" applyFont="1" applyFill="1" applyAlignment="1">
      <alignment horizontal="center" vertical="center"/>
    </xf>
    <xf numFmtId="0" fontId="1" fillId="2" borderId="4" xfId="0" applyFont="1" applyFill="1" applyBorder="1" applyAlignment="1">
      <alignment horizontal="center" vertical="center"/>
    </xf>
    <xf numFmtId="0" fontId="2" fillId="2" borderId="0" xfId="0" applyFont="1" applyFill="1" applyAlignment="1">
      <alignment horizontal="center" vertical="center"/>
    </xf>
    <xf numFmtId="0" fontId="1" fillId="2" borderId="10" xfId="0" applyFont="1" applyFill="1" applyBorder="1" applyAlignment="1">
      <alignment horizontal="center" vertical="center"/>
    </xf>
    <xf numFmtId="0" fontId="2" fillId="2" borderId="25" xfId="0" applyFont="1" applyFill="1" applyBorder="1" applyAlignment="1">
      <alignment horizontal="center" vertical="center"/>
    </xf>
    <xf numFmtId="0" fontId="2" fillId="2" borderId="26" xfId="0" applyFont="1" applyFill="1" applyBorder="1" applyAlignment="1">
      <alignment horizontal="center" vertical="center"/>
    </xf>
    <xf numFmtId="0" fontId="1" fillId="2" borderId="26" xfId="0" applyFont="1" applyFill="1" applyBorder="1" applyAlignment="1">
      <alignment horizontal="center" vertical="center"/>
    </xf>
    <xf numFmtId="0" fontId="2" fillId="2" borderId="34" xfId="0" applyFont="1" applyFill="1" applyBorder="1" applyAlignment="1">
      <alignment horizontal="center" vertical="center"/>
    </xf>
    <xf numFmtId="0" fontId="1" fillId="2" borderId="35" xfId="0" applyFont="1" applyFill="1" applyBorder="1" applyAlignment="1">
      <alignment horizontal="center" vertical="center"/>
    </xf>
    <xf numFmtId="0" fontId="1" fillId="2" borderId="36" xfId="0" applyFont="1" applyFill="1" applyBorder="1" applyAlignment="1">
      <alignment horizontal="center" vertical="center"/>
    </xf>
    <xf numFmtId="0" fontId="1" fillId="2" borderId="37" xfId="0" applyFont="1" applyFill="1" applyBorder="1" applyAlignment="1">
      <alignment horizontal="center" vertical="center" wrapText="1"/>
    </xf>
    <xf numFmtId="0" fontId="1" fillId="2" borderId="38" xfId="0" applyFont="1" applyFill="1" applyBorder="1" applyAlignment="1">
      <alignment horizontal="center" vertical="center" wrapText="1"/>
    </xf>
    <xf numFmtId="0" fontId="1" fillId="2" borderId="0" xfId="0" applyFont="1" applyFill="1"/>
    <xf numFmtId="0" fontId="1" fillId="2" borderId="25" xfId="0" applyFont="1" applyFill="1" applyBorder="1" applyAlignment="1">
      <alignment horizontal="center" vertical="center"/>
    </xf>
    <xf numFmtId="0" fontId="1" fillId="2" borderId="27" xfId="0" applyFont="1" applyFill="1" applyBorder="1" applyAlignment="1">
      <alignment horizontal="center" vertical="center"/>
    </xf>
    <xf numFmtId="9" fontId="1" fillId="0" borderId="32" xfId="1" quotePrefix="1" applyFont="1" applyFill="1" applyBorder="1" applyAlignment="1">
      <alignment horizontal="center" vertical="center"/>
    </xf>
    <xf numFmtId="9" fontId="1" fillId="0" borderId="18" xfId="1" quotePrefix="1" applyFont="1" applyFill="1" applyBorder="1" applyAlignment="1">
      <alignment horizontal="center" vertical="center"/>
    </xf>
    <xf numFmtId="0" fontId="1" fillId="2" borderId="41" xfId="0" applyFont="1" applyFill="1" applyBorder="1" applyAlignment="1">
      <alignment horizontal="center" vertical="center"/>
    </xf>
    <xf numFmtId="0" fontId="1" fillId="2" borderId="39" xfId="0" applyFont="1" applyFill="1" applyBorder="1" applyAlignment="1">
      <alignment horizontal="center" vertical="center"/>
    </xf>
    <xf numFmtId="0" fontId="1" fillId="2" borderId="42" xfId="0" applyFont="1" applyFill="1" applyBorder="1" applyAlignment="1">
      <alignment horizontal="center" vertical="center"/>
    </xf>
    <xf numFmtId="0" fontId="1" fillId="2" borderId="40" xfId="0" applyFont="1" applyFill="1" applyBorder="1" applyAlignment="1">
      <alignment horizontal="center" vertical="center"/>
    </xf>
    <xf numFmtId="0" fontId="1" fillId="2" borderId="43" xfId="0" applyFont="1" applyFill="1" applyBorder="1" applyAlignment="1">
      <alignment horizontal="center" vertical="center"/>
    </xf>
    <xf numFmtId="0" fontId="1" fillId="2" borderId="45" xfId="0" applyFont="1" applyFill="1" applyBorder="1" applyAlignment="1">
      <alignment horizontal="center" vertical="center"/>
    </xf>
    <xf numFmtId="1" fontId="1" fillId="0" borderId="31" xfId="0" applyNumberFormat="1" applyFont="1" applyBorder="1" applyAlignment="1">
      <alignment horizontal="center" vertical="center"/>
    </xf>
    <xf numFmtId="1" fontId="1" fillId="0" borderId="16" xfId="0" applyNumberFormat="1" applyFont="1" applyBorder="1" applyAlignment="1">
      <alignment horizontal="center" vertical="center"/>
    </xf>
    <xf numFmtId="164" fontId="1" fillId="0" borderId="30" xfId="0" quotePrefix="1" applyNumberFormat="1" applyFont="1" applyBorder="1" applyAlignment="1">
      <alignment horizontal="center" vertical="center"/>
    </xf>
    <xf numFmtId="164" fontId="1" fillId="0" borderId="19" xfId="0" quotePrefix="1" applyNumberFormat="1" applyFont="1" applyBorder="1" applyAlignment="1">
      <alignment horizontal="center" vertical="center"/>
    </xf>
    <xf numFmtId="1" fontId="1" fillId="0" borderId="29" xfId="0" quotePrefix="1" applyNumberFormat="1" applyFont="1" applyBorder="1" applyAlignment="1">
      <alignment horizontal="center" vertical="center"/>
    </xf>
    <xf numFmtId="1" fontId="1" fillId="0" borderId="17" xfId="0" quotePrefix="1" applyNumberFormat="1" applyFont="1" applyBorder="1" applyAlignment="1">
      <alignment horizontal="center" vertical="center"/>
    </xf>
    <xf numFmtId="164" fontId="1" fillId="0" borderId="20" xfId="0" quotePrefix="1" applyNumberFormat="1" applyFont="1" applyBorder="1" applyAlignment="1">
      <alignment horizontal="center" vertical="center"/>
    </xf>
    <xf numFmtId="164" fontId="1" fillId="0" borderId="29" xfId="0" quotePrefix="1" applyNumberFormat="1" applyFont="1" applyBorder="1" applyAlignment="1">
      <alignment horizontal="center" vertical="center"/>
    </xf>
    <xf numFmtId="164" fontId="1" fillId="0" borderId="11" xfId="0" quotePrefix="1" applyNumberFormat="1" applyFont="1" applyBorder="1" applyAlignment="1">
      <alignment horizontal="center" vertical="center"/>
    </xf>
    <xf numFmtId="165" fontId="1" fillId="0" borderId="22" xfId="1" quotePrefix="1" applyNumberFormat="1" applyFont="1" applyFill="1" applyBorder="1" applyAlignment="1">
      <alignment horizontal="center" vertical="center"/>
    </xf>
    <xf numFmtId="165" fontId="1" fillId="0" borderId="30" xfId="1" quotePrefix="1" applyNumberFormat="1" applyFont="1" applyFill="1" applyBorder="1" applyAlignment="1">
      <alignment horizontal="center" vertical="center"/>
    </xf>
    <xf numFmtId="164" fontId="1" fillId="0" borderId="17" xfId="0" quotePrefix="1" applyNumberFormat="1" applyFont="1" applyBorder="1" applyAlignment="1">
      <alignment horizontal="center" vertical="center"/>
    </xf>
    <xf numFmtId="0" fontId="1" fillId="0" borderId="38" xfId="0" applyFont="1" applyBorder="1" applyAlignment="1">
      <alignment horizontal="center" vertical="center" wrapText="1"/>
    </xf>
    <xf numFmtId="165" fontId="1" fillId="0" borderId="24" xfId="1" quotePrefix="1" applyNumberFormat="1" applyFont="1" applyFill="1" applyBorder="1" applyAlignment="1">
      <alignment horizontal="center" vertical="center"/>
    </xf>
    <xf numFmtId="165" fontId="1" fillId="0" borderId="15" xfId="1" quotePrefix="1" applyNumberFormat="1" applyFont="1" applyFill="1" applyBorder="1" applyAlignment="1">
      <alignment horizontal="center" vertical="center"/>
    </xf>
    <xf numFmtId="165" fontId="1" fillId="0" borderId="12" xfId="1" quotePrefix="1" applyNumberFormat="1" applyFont="1" applyFill="1" applyBorder="1" applyAlignment="1">
      <alignment horizontal="center" vertical="center"/>
    </xf>
    <xf numFmtId="165" fontId="1" fillId="0" borderId="15" xfId="1" applyNumberFormat="1" applyFont="1" applyFill="1" applyBorder="1" applyAlignment="1">
      <alignment horizontal="center" vertical="center"/>
    </xf>
    <xf numFmtId="165" fontId="1" fillId="0" borderId="32" xfId="1" applyNumberFormat="1" applyFont="1" applyFill="1" applyBorder="1" applyAlignment="1">
      <alignment horizontal="center" vertical="center"/>
    </xf>
    <xf numFmtId="165" fontId="1" fillId="0" borderId="32" xfId="1" quotePrefix="1" applyNumberFormat="1" applyFont="1" applyFill="1" applyBorder="1" applyAlignment="1">
      <alignment horizontal="center" vertical="center"/>
    </xf>
    <xf numFmtId="165" fontId="1" fillId="0" borderId="18" xfId="1" quotePrefix="1" applyNumberFormat="1" applyFont="1" applyFill="1" applyBorder="1" applyAlignment="1">
      <alignment horizontal="center" vertical="center"/>
    </xf>
    <xf numFmtId="165" fontId="1" fillId="0" borderId="19" xfId="1" quotePrefix="1" applyNumberFormat="1" applyFont="1" applyFill="1" applyBorder="1" applyAlignment="1">
      <alignment horizontal="center" vertical="center"/>
    </xf>
    <xf numFmtId="1" fontId="1" fillId="0" borderId="13" xfId="0" applyNumberFormat="1" applyFont="1" applyBorder="1" applyAlignment="1">
      <alignment horizontal="center" vertical="center"/>
    </xf>
    <xf numFmtId="1" fontId="1" fillId="0" borderId="28" xfId="0" applyNumberFormat="1" applyFont="1" applyBorder="1" applyAlignment="1">
      <alignment horizontal="center" vertical="center"/>
    </xf>
    <xf numFmtId="1" fontId="1" fillId="0" borderId="33" xfId="0" applyNumberFormat="1" applyFont="1" applyBorder="1" applyAlignment="1">
      <alignment horizontal="center" vertical="center"/>
    </xf>
    <xf numFmtId="1" fontId="1" fillId="0" borderId="14" xfId="0" applyNumberFormat="1" applyFont="1" applyBorder="1" applyAlignment="1">
      <alignment horizontal="center" vertical="center"/>
    </xf>
    <xf numFmtId="1" fontId="1" fillId="0" borderId="23" xfId="0" applyNumberFormat="1" applyFont="1" applyBorder="1" applyAlignment="1">
      <alignment horizontal="center" vertical="center"/>
    </xf>
    <xf numFmtId="1" fontId="1" fillId="0" borderId="14" xfId="0" quotePrefix="1" applyNumberFormat="1" applyFont="1" applyBorder="1" applyAlignment="1">
      <alignment horizontal="center" vertical="center"/>
    </xf>
    <xf numFmtId="9" fontId="5" fillId="0" borderId="32" xfId="1" quotePrefix="1" applyFont="1" applyFill="1" applyBorder="1" applyAlignment="1">
      <alignment horizontal="center" vertical="center"/>
    </xf>
    <xf numFmtId="1" fontId="1" fillId="3" borderId="21" xfId="0" quotePrefix="1" applyNumberFormat="1" applyFont="1" applyFill="1" applyBorder="1" applyAlignment="1">
      <alignment horizontal="center" vertical="center"/>
    </xf>
    <xf numFmtId="164" fontId="1" fillId="3" borderId="20" xfId="0" quotePrefix="1" applyNumberFormat="1" applyFont="1" applyFill="1" applyBorder="1" applyAlignment="1">
      <alignment horizontal="center" vertical="center"/>
    </xf>
    <xf numFmtId="165" fontId="1" fillId="3" borderId="22" xfId="1" quotePrefix="1" applyNumberFormat="1" applyFont="1" applyFill="1" applyBorder="1" applyAlignment="1">
      <alignment horizontal="center" vertical="center"/>
    </xf>
    <xf numFmtId="165" fontId="1" fillId="3" borderId="24" xfId="1" quotePrefix="1" applyNumberFormat="1" applyFont="1" applyFill="1" applyBorder="1" applyAlignment="1">
      <alignment horizontal="center" vertical="center"/>
    </xf>
    <xf numFmtId="1" fontId="1" fillId="3" borderId="13" xfId="0" quotePrefix="1" applyNumberFormat="1" applyFont="1" applyFill="1" applyBorder="1" applyAlignment="1">
      <alignment horizontal="center" vertical="center"/>
    </xf>
    <xf numFmtId="164" fontId="1" fillId="3" borderId="11" xfId="0" quotePrefix="1" applyNumberFormat="1" applyFont="1" applyFill="1" applyBorder="1" applyAlignment="1">
      <alignment horizontal="center" vertical="center"/>
    </xf>
    <xf numFmtId="165" fontId="1" fillId="3" borderId="15" xfId="1" quotePrefix="1" applyNumberFormat="1" applyFont="1" applyFill="1" applyBorder="1" applyAlignment="1">
      <alignment horizontal="center" vertical="center"/>
    </xf>
    <xf numFmtId="1" fontId="1" fillId="3" borderId="13" xfId="0" applyNumberFormat="1" applyFont="1" applyFill="1" applyBorder="1" applyAlignment="1">
      <alignment horizontal="center" vertical="center"/>
    </xf>
    <xf numFmtId="1" fontId="1" fillId="3" borderId="23" xfId="0" applyNumberFormat="1" applyFont="1" applyFill="1" applyBorder="1" applyAlignment="1">
      <alignment horizontal="center" vertical="center"/>
    </xf>
    <xf numFmtId="1" fontId="1" fillId="3" borderId="14" xfId="0" applyNumberFormat="1" applyFont="1" applyFill="1" applyBorder="1" applyAlignment="1">
      <alignment horizontal="center" vertical="center"/>
    </xf>
    <xf numFmtId="165" fontId="1" fillId="3" borderId="12" xfId="1" quotePrefix="1" applyNumberFormat="1" applyFont="1" applyFill="1" applyBorder="1" applyAlignment="1">
      <alignment horizontal="center" vertical="center"/>
    </xf>
    <xf numFmtId="1" fontId="1" fillId="3" borderId="14" xfId="0" quotePrefix="1" applyNumberFormat="1" applyFont="1" applyFill="1" applyBorder="1" applyAlignment="1">
      <alignment horizontal="center" vertical="center"/>
    </xf>
    <xf numFmtId="1" fontId="1" fillId="4" borderId="14" xfId="0" applyNumberFormat="1" applyFont="1" applyFill="1" applyBorder="1" applyAlignment="1">
      <alignment horizontal="center" vertical="center"/>
    </xf>
    <xf numFmtId="164" fontId="1" fillId="4" borderId="11" xfId="0" quotePrefix="1" applyNumberFormat="1" applyFont="1" applyFill="1" applyBorder="1" applyAlignment="1">
      <alignment horizontal="center" vertical="center"/>
    </xf>
    <xf numFmtId="165" fontId="1" fillId="4" borderId="22" xfId="1" quotePrefix="1" applyNumberFormat="1" applyFont="1" applyFill="1" applyBorder="1" applyAlignment="1">
      <alignment horizontal="center" vertical="center"/>
    </xf>
    <xf numFmtId="165" fontId="1" fillId="4" borderId="15" xfId="1" quotePrefix="1" applyNumberFormat="1" applyFont="1" applyFill="1" applyBorder="1" applyAlignment="1">
      <alignment horizontal="center" vertical="center"/>
    </xf>
    <xf numFmtId="1" fontId="1" fillId="3" borderId="16" xfId="0" applyNumberFormat="1" applyFont="1" applyFill="1" applyBorder="1" applyAlignment="1">
      <alignment horizontal="center" vertical="center"/>
    </xf>
    <xf numFmtId="164" fontId="1" fillId="3" borderId="17" xfId="0" quotePrefix="1" applyNumberFormat="1" applyFont="1" applyFill="1" applyBorder="1" applyAlignment="1">
      <alignment horizontal="center" vertical="center"/>
    </xf>
    <xf numFmtId="165" fontId="1" fillId="3" borderId="46" xfId="1" quotePrefix="1" applyNumberFormat="1" applyFont="1" applyFill="1" applyBorder="1" applyAlignment="1">
      <alignment horizontal="center" vertical="center"/>
    </xf>
    <xf numFmtId="165" fontId="1" fillId="3" borderId="19" xfId="1" quotePrefix="1" applyNumberFormat="1" applyFont="1" applyFill="1" applyBorder="1" applyAlignment="1">
      <alignment horizontal="center" vertical="center"/>
    </xf>
    <xf numFmtId="165" fontId="1" fillId="3" borderId="18" xfId="1" applyNumberFormat="1" applyFont="1" applyFill="1" applyBorder="1" applyAlignment="1">
      <alignment horizontal="center" vertical="center"/>
    </xf>
    <xf numFmtId="165" fontId="1" fillId="4" borderId="12" xfId="1" quotePrefix="1" applyNumberFormat="1" applyFont="1" applyFill="1" applyBorder="1" applyAlignment="1">
      <alignment horizontal="center" vertical="center"/>
    </xf>
    <xf numFmtId="165" fontId="1" fillId="4" borderId="15" xfId="1" applyNumberFormat="1" applyFont="1" applyFill="1" applyBorder="1" applyAlignment="1">
      <alignment horizontal="center" vertical="center"/>
    </xf>
    <xf numFmtId="1" fontId="1" fillId="4" borderId="31" xfId="0" applyNumberFormat="1" applyFont="1" applyFill="1" applyBorder="1" applyAlignment="1">
      <alignment horizontal="center" vertical="center"/>
    </xf>
    <xf numFmtId="164" fontId="1" fillId="4" borderId="29" xfId="0" quotePrefix="1" applyNumberFormat="1" applyFont="1" applyFill="1" applyBorder="1" applyAlignment="1">
      <alignment horizontal="center" vertical="center"/>
    </xf>
    <xf numFmtId="165" fontId="1" fillId="4" borderId="30" xfId="1" quotePrefix="1" applyNumberFormat="1" applyFont="1" applyFill="1" applyBorder="1" applyAlignment="1">
      <alignment horizontal="center" vertical="center"/>
    </xf>
    <xf numFmtId="165" fontId="1" fillId="4" borderId="32" xfId="1" applyNumberFormat="1" applyFont="1" applyFill="1" applyBorder="1" applyAlignment="1">
      <alignment horizontal="center" vertical="center"/>
    </xf>
    <xf numFmtId="1" fontId="1" fillId="5" borderId="13" xfId="0" applyNumberFormat="1" applyFont="1" applyFill="1" applyBorder="1" applyAlignment="1">
      <alignment horizontal="center" vertical="center"/>
    </xf>
    <xf numFmtId="164" fontId="1" fillId="5" borderId="11" xfId="0" quotePrefix="1" applyNumberFormat="1" applyFont="1" applyFill="1" applyBorder="1" applyAlignment="1">
      <alignment horizontal="center" vertical="center"/>
    </xf>
    <xf numFmtId="165" fontId="1" fillId="5" borderId="22" xfId="1" quotePrefix="1" applyNumberFormat="1" applyFont="1" applyFill="1" applyBorder="1" applyAlignment="1">
      <alignment horizontal="center" vertical="center"/>
    </xf>
    <xf numFmtId="165" fontId="1" fillId="5" borderId="15" xfId="1" quotePrefix="1" applyNumberFormat="1" applyFont="1" applyFill="1" applyBorder="1" applyAlignment="1">
      <alignment horizontal="center" vertical="center"/>
    </xf>
    <xf numFmtId="1" fontId="1" fillId="5" borderId="14" xfId="0" applyNumberFormat="1" applyFont="1" applyFill="1" applyBorder="1" applyAlignment="1">
      <alignment horizontal="center" vertical="center"/>
    </xf>
    <xf numFmtId="0" fontId="1" fillId="2" borderId="1"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0" xfId="0" applyFont="1" applyFill="1" applyAlignment="1">
      <alignment horizontal="center" vertical="center"/>
    </xf>
    <xf numFmtId="0" fontId="1" fillId="2" borderId="7" xfId="0" applyFont="1" applyFill="1" applyBorder="1" applyAlignment="1">
      <alignment horizontal="center" vertical="center"/>
    </xf>
    <xf numFmtId="0" fontId="1" fillId="2" borderId="26" xfId="0" applyFont="1" applyFill="1" applyBorder="1" applyAlignment="1">
      <alignment horizontal="center" vertical="center"/>
    </xf>
    <xf numFmtId="0" fontId="1" fillId="2" borderId="25" xfId="0" applyFont="1" applyFill="1" applyBorder="1" applyAlignment="1">
      <alignment horizontal="center" vertical="center"/>
    </xf>
    <xf numFmtId="0" fontId="1" fillId="2" borderId="44" xfId="0" applyFont="1" applyFill="1" applyBorder="1" applyAlignment="1">
      <alignment horizontal="center" vertical="center"/>
    </xf>
    <xf numFmtId="0" fontId="1" fillId="2" borderId="31" xfId="0" applyFont="1" applyFill="1" applyBorder="1" applyAlignment="1">
      <alignment horizontal="center" vertical="center"/>
    </xf>
    <xf numFmtId="0" fontId="1" fillId="2" borderId="32"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8"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5" xfId="0" applyFont="1" applyFill="1" applyBorder="1" applyAlignment="1">
      <alignment horizontal="center" vertical="center"/>
    </xf>
    <xf numFmtId="0" fontId="2" fillId="0" borderId="0" xfId="0" applyFont="1" applyAlignment="1">
      <alignment horizontal="left" vertical="top" wrapText="1"/>
    </xf>
  </cellXfs>
  <cellStyles count="2">
    <cellStyle name="Normal" xfId="0" builtinId="0"/>
    <cellStyle name="Percent" xfId="1" builtinId="5"/>
  </cellStyles>
  <dxfs count="0"/>
  <tableStyles count="0" defaultTableStyle="TableStyleMedium2" defaultPivotStyle="PivotStyleLight16"/>
  <colors>
    <mruColors>
      <color rgb="FFF038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DA18EC-BC9A-491C-8B54-ECFF7A9390CE}">
  <sheetPr>
    <pageSetUpPr fitToPage="1"/>
  </sheetPr>
  <dimension ref="B2:BA53"/>
  <sheetViews>
    <sheetView tabSelected="1" topLeftCell="B1" zoomScale="70" zoomScaleNormal="70" workbookViewId="0">
      <selection activeCell="B5" sqref="B5"/>
    </sheetView>
  </sheetViews>
  <sheetFormatPr defaultColWidth="9.140625" defaultRowHeight="15.75" x14ac:dyDescent="0.25"/>
  <cols>
    <col min="1" max="1" width="9.140625" style="14"/>
    <col min="2" max="2" width="18.85546875" style="14" bestFit="1" customWidth="1"/>
    <col min="3" max="3" width="8.85546875" style="14" customWidth="1"/>
    <col min="4" max="4" width="9.85546875" style="2" customWidth="1"/>
    <col min="5" max="5" width="24.5703125" style="14" bestFit="1" customWidth="1"/>
    <col min="6" max="6" width="15.42578125" style="14" customWidth="1"/>
    <col min="7" max="7" width="18.5703125" style="14" customWidth="1"/>
    <col min="8" max="8" width="16.42578125" style="14" customWidth="1"/>
    <col min="9" max="9" width="16.5703125" style="14" customWidth="1"/>
    <col min="10" max="10" width="11" style="14" customWidth="1"/>
    <col min="11" max="11" width="9.42578125" style="14" customWidth="1"/>
    <col min="12" max="12" width="11.42578125" style="14" customWidth="1"/>
    <col min="13" max="13" width="12.42578125" style="14" customWidth="1"/>
    <col min="14" max="14" width="11" style="14" customWidth="1"/>
    <col min="15" max="15" width="9.42578125" style="14" customWidth="1"/>
    <col min="16" max="16" width="12.85546875" style="14" customWidth="1"/>
    <col min="17" max="17" width="12.42578125" style="14" customWidth="1"/>
    <col min="18" max="18" width="11" style="14" customWidth="1"/>
    <col min="19" max="19" width="9.42578125" style="14" customWidth="1"/>
    <col min="20" max="21" width="12.42578125" style="14" customWidth="1"/>
    <col min="22" max="22" width="11" style="14" customWidth="1"/>
    <col min="23" max="23" width="9.42578125" style="14" customWidth="1"/>
    <col min="24" max="24" width="12.85546875" style="14" customWidth="1"/>
    <col min="25" max="25" width="12.42578125" style="14" customWidth="1"/>
    <col min="26" max="26" width="11" style="14" customWidth="1"/>
    <col min="27" max="27" width="9.42578125" style="14" customWidth="1"/>
    <col min="28" max="29" width="12.42578125" style="14" customWidth="1"/>
    <col min="30" max="30" width="11" style="14" customWidth="1"/>
    <col min="31" max="31" width="9.42578125" style="14" customWidth="1"/>
    <col min="32" max="33" width="12.42578125" style="14" customWidth="1"/>
    <col min="34" max="34" width="11" style="14" customWidth="1"/>
    <col min="35" max="35" width="9.42578125" style="14" customWidth="1"/>
    <col min="36" max="37" width="12.42578125" style="14" customWidth="1"/>
    <col min="38" max="38" width="11" style="14" customWidth="1"/>
    <col min="39" max="39" width="9.42578125" style="14" customWidth="1"/>
    <col min="40" max="41" width="12.42578125" style="14" customWidth="1"/>
    <col min="42" max="42" width="11" style="14" bestFit="1" customWidth="1"/>
    <col min="43" max="43" width="9.42578125" style="14" bestFit="1" customWidth="1"/>
    <col min="44" max="44" width="12.85546875" style="14" customWidth="1"/>
    <col min="45" max="45" width="12.42578125" style="14" bestFit="1" customWidth="1"/>
    <col min="46" max="46" width="11" style="14" bestFit="1" customWidth="1"/>
    <col min="47" max="47" width="10" style="14" bestFit="1" customWidth="1"/>
    <col min="48" max="48" width="13.42578125" style="14" customWidth="1"/>
    <col min="49" max="49" width="12.42578125" style="14" bestFit="1" customWidth="1"/>
    <col min="50" max="50" width="11" style="14" bestFit="1" customWidth="1"/>
    <col min="51" max="51" width="9.42578125" style="14" bestFit="1" customWidth="1"/>
    <col min="52" max="52" width="13.42578125" style="14" customWidth="1"/>
    <col min="53" max="53" width="12.42578125" style="14" bestFit="1" customWidth="1"/>
    <col min="54" max="54" width="4.85546875" style="14" bestFit="1" customWidth="1"/>
    <col min="55" max="16384" width="9.140625" style="14"/>
  </cols>
  <sheetData>
    <row r="2" spans="2:53" x14ac:dyDescent="0.25">
      <c r="B2" s="102" t="s">
        <v>85</v>
      </c>
      <c r="C2" s="102"/>
      <c r="D2" s="102"/>
      <c r="E2" s="102"/>
      <c r="F2" s="102"/>
      <c r="G2" s="102"/>
      <c r="H2" s="102"/>
      <c r="I2" s="102"/>
      <c r="J2" s="102"/>
      <c r="K2" s="102"/>
      <c r="L2" s="102"/>
      <c r="M2" s="102"/>
      <c r="N2" s="102"/>
      <c r="O2" s="102"/>
      <c r="P2" s="102"/>
      <c r="Q2" s="102"/>
      <c r="R2" s="102"/>
      <c r="S2" s="102"/>
      <c r="T2" s="102"/>
      <c r="U2" s="102"/>
      <c r="V2" s="102"/>
      <c r="W2" s="102"/>
      <c r="X2" s="102"/>
      <c r="Y2" s="102"/>
      <c r="Z2" s="102"/>
      <c r="AA2" s="102"/>
      <c r="AB2" s="102"/>
      <c r="AC2" s="102"/>
      <c r="AD2" s="102"/>
      <c r="AE2" s="102"/>
      <c r="AF2" s="102"/>
      <c r="AG2" s="102"/>
      <c r="AH2" s="102"/>
      <c r="AI2" s="102"/>
      <c r="AJ2" s="102"/>
      <c r="AK2" s="102"/>
      <c r="AL2" s="102"/>
      <c r="AM2" s="102"/>
      <c r="AN2" s="102"/>
      <c r="AO2" s="102"/>
      <c r="AP2" s="102"/>
      <c r="AQ2" s="102"/>
      <c r="AR2" s="102"/>
      <c r="AS2" s="102"/>
      <c r="AT2" s="102"/>
      <c r="AU2" s="102"/>
      <c r="AV2" s="102"/>
      <c r="AW2" s="102"/>
      <c r="AX2" s="102"/>
      <c r="AY2" s="102"/>
      <c r="AZ2" s="102"/>
      <c r="BA2" s="102"/>
    </row>
    <row r="3" spans="2:53" x14ac:dyDescent="0.25">
      <c r="B3" s="102"/>
      <c r="C3" s="102"/>
      <c r="D3" s="102"/>
      <c r="E3" s="102"/>
      <c r="F3" s="102"/>
      <c r="G3" s="102"/>
      <c r="H3" s="102"/>
      <c r="I3" s="102"/>
      <c r="J3" s="102"/>
      <c r="K3" s="102"/>
      <c r="L3" s="102"/>
      <c r="M3" s="102"/>
      <c r="N3" s="102"/>
      <c r="O3" s="102"/>
      <c r="P3" s="102"/>
      <c r="Q3" s="102"/>
      <c r="R3" s="102"/>
      <c r="S3" s="102"/>
      <c r="T3" s="102"/>
      <c r="U3" s="102"/>
      <c r="V3" s="102"/>
      <c r="W3" s="102"/>
      <c r="X3" s="102"/>
      <c r="Y3" s="102"/>
      <c r="Z3" s="102"/>
      <c r="AA3" s="102"/>
      <c r="AB3" s="102"/>
      <c r="AC3" s="102"/>
      <c r="AD3" s="102"/>
      <c r="AE3" s="102"/>
      <c r="AF3" s="102"/>
      <c r="AG3" s="102"/>
      <c r="AH3" s="102"/>
      <c r="AI3" s="102"/>
      <c r="AJ3" s="102"/>
      <c r="AK3" s="102"/>
      <c r="AL3" s="102"/>
      <c r="AM3" s="102"/>
      <c r="AN3" s="102"/>
      <c r="AO3" s="102"/>
      <c r="AP3" s="102"/>
      <c r="AQ3" s="102"/>
      <c r="AR3" s="102"/>
      <c r="AS3" s="102"/>
      <c r="AT3" s="102"/>
      <c r="AU3" s="102"/>
      <c r="AV3" s="102"/>
      <c r="AW3" s="102"/>
      <c r="AX3" s="102"/>
      <c r="AY3" s="102"/>
      <c r="AZ3" s="102"/>
      <c r="BA3" s="102"/>
    </row>
    <row r="4" spans="2:53" x14ac:dyDescent="0.25">
      <c r="B4" s="102"/>
      <c r="C4" s="102"/>
      <c r="D4" s="102"/>
      <c r="E4" s="102"/>
      <c r="F4" s="102"/>
      <c r="G4" s="102"/>
      <c r="H4" s="102"/>
      <c r="I4" s="102"/>
      <c r="J4" s="102"/>
      <c r="K4" s="102"/>
      <c r="L4" s="102"/>
      <c r="M4" s="102"/>
      <c r="N4" s="102"/>
      <c r="O4" s="102"/>
      <c r="P4" s="102"/>
      <c r="Q4" s="102"/>
      <c r="R4" s="102"/>
      <c r="S4" s="102"/>
      <c r="T4" s="102"/>
      <c r="U4" s="102"/>
      <c r="V4" s="102"/>
      <c r="W4" s="102"/>
      <c r="X4" s="102"/>
      <c r="Y4" s="102"/>
      <c r="Z4" s="102"/>
      <c r="AA4" s="102"/>
      <c r="AB4" s="102"/>
      <c r="AC4" s="102"/>
      <c r="AD4" s="102"/>
      <c r="AE4" s="102"/>
      <c r="AF4" s="102"/>
      <c r="AG4" s="102"/>
      <c r="AH4" s="102"/>
      <c r="AI4" s="102"/>
      <c r="AJ4" s="102"/>
      <c r="AK4" s="102"/>
      <c r="AL4" s="102"/>
      <c r="AM4" s="102"/>
      <c r="AN4" s="102"/>
      <c r="AO4" s="102"/>
      <c r="AP4" s="102"/>
      <c r="AQ4" s="102"/>
      <c r="AR4" s="102"/>
      <c r="AS4" s="102"/>
      <c r="AT4" s="102"/>
      <c r="AU4" s="102"/>
      <c r="AV4" s="102"/>
      <c r="AW4" s="102"/>
      <c r="AX4" s="102"/>
      <c r="AY4" s="102"/>
      <c r="AZ4" s="102"/>
      <c r="BA4" s="102"/>
    </row>
    <row r="5" spans="2:53" ht="16.5" thickBot="1" x14ac:dyDescent="0.3"/>
    <row r="6" spans="2:53" ht="16.5" thickBot="1" x14ac:dyDescent="0.3">
      <c r="B6" s="1"/>
      <c r="C6" s="1"/>
      <c r="D6" s="1"/>
      <c r="E6" s="1"/>
      <c r="F6" s="2"/>
      <c r="G6" s="2"/>
      <c r="H6" s="2"/>
      <c r="I6" s="2"/>
      <c r="J6" s="85" t="s">
        <v>0</v>
      </c>
      <c r="K6" s="88"/>
      <c r="L6" s="88"/>
      <c r="M6" s="89"/>
      <c r="N6" s="85" t="s">
        <v>1</v>
      </c>
      <c r="O6" s="88"/>
      <c r="P6" s="88"/>
      <c r="Q6" s="89"/>
      <c r="R6" s="101" t="s">
        <v>2</v>
      </c>
      <c r="S6" s="101"/>
      <c r="T6" s="101"/>
      <c r="U6" s="101"/>
      <c r="V6" s="101"/>
      <c r="W6" s="101"/>
      <c r="X6" s="101"/>
      <c r="Y6" s="101"/>
      <c r="Z6" s="101"/>
      <c r="AA6" s="101"/>
      <c r="AB6" s="101"/>
      <c r="AC6" s="100"/>
      <c r="AD6" s="99" t="s">
        <v>3</v>
      </c>
      <c r="AE6" s="101"/>
      <c r="AF6" s="101"/>
      <c r="AG6" s="101"/>
      <c r="AH6" s="101"/>
      <c r="AI6" s="101"/>
      <c r="AJ6" s="101"/>
      <c r="AK6" s="101"/>
      <c r="AL6" s="85" t="s">
        <v>4</v>
      </c>
      <c r="AM6" s="88"/>
      <c r="AN6" s="88"/>
      <c r="AO6" s="89"/>
      <c r="AP6" s="85" t="s">
        <v>5</v>
      </c>
      <c r="AQ6" s="88"/>
      <c r="AR6" s="88"/>
      <c r="AS6" s="88"/>
      <c r="AT6" s="85" t="s">
        <v>6</v>
      </c>
      <c r="AU6" s="88"/>
      <c r="AV6" s="88"/>
      <c r="AW6" s="89"/>
      <c r="AX6" s="85" t="s">
        <v>7</v>
      </c>
      <c r="AY6" s="88"/>
      <c r="AZ6" s="88"/>
      <c r="BA6" s="89"/>
    </row>
    <row r="7" spans="2:53" ht="16.5" thickBot="1" x14ac:dyDescent="0.3">
      <c r="D7" s="14"/>
      <c r="E7" s="2"/>
      <c r="F7" s="2"/>
      <c r="G7" s="2"/>
      <c r="H7" s="2"/>
      <c r="I7" s="2"/>
      <c r="J7" s="87"/>
      <c r="K7" s="90"/>
      <c r="L7" s="90"/>
      <c r="M7" s="91"/>
      <c r="N7" s="87"/>
      <c r="O7" s="90"/>
      <c r="P7" s="90"/>
      <c r="Q7" s="91"/>
      <c r="R7" s="85" t="s">
        <v>8</v>
      </c>
      <c r="S7" s="88"/>
      <c r="T7" s="88"/>
      <c r="U7" s="89"/>
      <c r="V7" s="85" t="s">
        <v>9</v>
      </c>
      <c r="W7" s="88"/>
      <c r="X7" s="88"/>
      <c r="Y7" s="88"/>
      <c r="Z7" s="85" t="s">
        <v>10</v>
      </c>
      <c r="AA7" s="88"/>
      <c r="AB7" s="88"/>
      <c r="AC7" s="89"/>
      <c r="AD7" s="85" t="s">
        <v>11</v>
      </c>
      <c r="AE7" s="88"/>
      <c r="AF7" s="88"/>
      <c r="AG7" s="89"/>
      <c r="AH7" s="85" t="s">
        <v>12</v>
      </c>
      <c r="AI7" s="88"/>
      <c r="AJ7" s="88"/>
      <c r="AK7" s="89"/>
      <c r="AL7" s="87"/>
      <c r="AM7" s="90"/>
      <c r="AN7" s="90"/>
      <c r="AO7" s="91"/>
      <c r="AP7" s="87"/>
      <c r="AQ7" s="90"/>
      <c r="AR7" s="90"/>
      <c r="AS7" s="90"/>
      <c r="AT7" s="87"/>
      <c r="AU7" s="90"/>
      <c r="AV7" s="90"/>
      <c r="AW7" s="91"/>
      <c r="AX7" s="87"/>
      <c r="AY7" s="90"/>
      <c r="AZ7" s="90"/>
      <c r="BA7" s="91"/>
    </row>
    <row r="8" spans="2:53" ht="32.25" thickBot="1" x14ac:dyDescent="0.3">
      <c r="B8" s="5" t="s">
        <v>13</v>
      </c>
      <c r="C8" s="20" t="s">
        <v>14</v>
      </c>
      <c r="D8" s="5" t="s">
        <v>45</v>
      </c>
      <c r="E8" s="3" t="s">
        <v>71</v>
      </c>
      <c r="F8" s="5" t="s">
        <v>15</v>
      </c>
      <c r="G8" s="5" t="s">
        <v>16</v>
      </c>
      <c r="H8" s="5" t="s">
        <v>17</v>
      </c>
      <c r="I8" s="3" t="s">
        <v>18</v>
      </c>
      <c r="J8" s="10" t="s">
        <v>19</v>
      </c>
      <c r="K8" s="11" t="s">
        <v>20</v>
      </c>
      <c r="L8" s="37" t="s">
        <v>73</v>
      </c>
      <c r="M8" s="13" t="s">
        <v>21</v>
      </c>
      <c r="N8" s="10" t="s">
        <v>19</v>
      </c>
      <c r="O8" s="11" t="s">
        <v>20</v>
      </c>
      <c r="P8" s="37" t="s">
        <v>74</v>
      </c>
      <c r="Q8" s="12" t="s">
        <v>21</v>
      </c>
      <c r="R8" s="10" t="s">
        <v>19</v>
      </c>
      <c r="S8" s="11" t="s">
        <v>20</v>
      </c>
      <c r="T8" s="13" t="s">
        <v>75</v>
      </c>
      <c r="U8" s="12" t="s">
        <v>21</v>
      </c>
      <c r="V8" s="10" t="s">
        <v>19</v>
      </c>
      <c r="W8" s="11" t="s">
        <v>20</v>
      </c>
      <c r="X8" s="13" t="s">
        <v>76</v>
      </c>
      <c r="Y8" s="13" t="s">
        <v>21</v>
      </c>
      <c r="Z8" s="10" t="s">
        <v>19</v>
      </c>
      <c r="AA8" s="11" t="s">
        <v>20</v>
      </c>
      <c r="AB8" s="13" t="s">
        <v>77</v>
      </c>
      <c r="AC8" s="12" t="s">
        <v>21</v>
      </c>
      <c r="AD8" s="10" t="s">
        <v>19</v>
      </c>
      <c r="AE8" s="11" t="s">
        <v>20</v>
      </c>
      <c r="AF8" s="13" t="s">
        <v>78</v>
      </c>
      <c r="AG8" s="12" t="s">
        <v>21</v>
      </c>
      <c r="AH8" s="10" t="s">
        <v>19</v>
      </c>
      <c r="AI8" s="11" t="s">
        <v>20</v>
      </c>
      <c r="AJ8" s="13" t="s">
        <v>79</v>
      </c>
      <c r="AK8" s="12" t="s">
        <v>21</v>
      </c>
      <c r="AL8" s="10" t="s">
        <v>19</v>
      </c>
      <c r="AM8" s="11" t="s">
        <v>20</v>
      </c>
      <c r="AN8" s="13" t="s">
        <v>72</v>
      </c>
      <c r="AO8" s="13" t="s">
        <v>21</v>
      </c>
      <c r="AP8" s="10" t="s">
        <v>19</v>
      </c>
      <c r="AQ8" s="11" t="s">
        <v>20</v>
      </c>
      <c r="AR8" s="13" t="s">
        <v>81</v>
      </c>
      <c r="AS8" s="12" t="s">
        <v>21</v>
      </c>
      <c r="AT8" s="10" t="s">
        <v>19</v>
      </c>
      <c r="AU8" s="11" t="s">
        <v>20</v>
      </c>
      <c r="AV8" s="13" t="s">
        <v>80</v>
      </c>
      <c r="AW8" s="12" t="s">
        <v>21</v>
      </c>
      <c r="AX8" s="10" t="s">
        <v>19</v>
      </c>
      <c r="AY8" s="11" t="s">
        <v>20</v>
      </c>
      <c r="AZ8" s="13" t="s">
        <v>82</v>
      </c>
      <c r="BA8" s="12" t="s">
        <v>21</v>
      </c>
    </row>
    <row r="9" spans="2:53" x14ac:dyDescent="0.25">
      <c r="B9" s="87" t="s">
        <v>22</v>
      </c>
      <c r="C9" s="93" t="s">
        <v>63</v>
      </c>
      <c r="D9" s="22" t="s">
        <v>46</v>
      </c>
      <c r="E9" s="6" t="s">
        <v>23</v>
      </c>
      <c r="F9" s="9">
        <v>1413</v>
      </c>
      <c r="G9" s="9">
        <v>555</v>
      </c>
      <c r="H9" s="9">
        <v>4209</v>
      </c>
      <c r="I9" s="9">
        <f>671898+976506</f>
        <v>1648404</v>
      </c>
      <c r="J9" s="53">
        <v>116018</v>
      </c>
      <c r="K9" s="54">
        <f>J9/((9332/1000)*($I9/1000000))</f>
        <v>7542.0079297515676</v>
      </c>
      <c r="L9" s="55">
        <f>(K9/$K$10)</f>
        <v>0.30516839411757285</v>
      </c>
      <c r="M9" s="56">
        <v>1</v>
      </c>
      <c r="N9" s="61">
        <v>3124</v>
      </c>
      <c r="O9" s="54">
        <f>N9/((7555/1000)*($I9/1000000))</f>
        <v>250.84930194300244</v>
      </c>
      <c r="P9" s="55">
        <f>(O9/$O$10)</f>
        <v>0.6041053461942425</v>
      </c>
      <c r="Q9" s="56">
        <v>0.76900000000000002</v>
      </c>
      <c r="R9" s="61">
        <v>2</v>
      </c>
      <c r="S9" s="54">
        <f>R9/((7210/1000)*($I9/1000000))</f>
        <v>0.16827944508883691</v>
      </c>
      <c r="T9" s="55">
        <f>(S9/$S$17)</f>
        <v>0.39596644188358349</v>
      </c>
      <c r="U9" s="56">
        <v>3.7999999999999999E-2</v>
      </c>
      <c r="V9" s="61">
        <v>19</v>
      </c>
      <c r="W9" s="54">
        <f>V9/((1606/1000)*($I9/1000000))</f>
        <v>7.1770240294893437</v>
      </c>
      <c r="X9" s="55">
        <f>(W9/$W$13)</f>
        <v>0.42640311027672384</v>
      </c>
      <c r="Y9" s="55">
        <v>0.29899999999999999</v>
      </c>
      <c r="Z9" s="50">
        <v>0</v>
      </c>
      <c r="AA9" s="31">
        <f>Z9/((1351/1000)*($I9/1000000))</f>
        <v>0</v>
      </c>
      <c r="AB9" s="34">
        <f>(AA9/$AA$14)</f>
        <v>0</v>
      </c>
      <c r="AC9" s="38">
        <v>0</v>
      </c>
      <c r="AD9" s="61">
        <v>19</v>
      </c>
      <c r="AE9" s="54">
        <f>AD9/((6663/1000)*($I9/1000000))</f>
        <v>1.7298965317964707</v>
      </c>
      <c r="AF9" s="55">
        <f>(AE9/$AE$16)</f>
        <v>0.21223607804882785</v>
      </c>
      <c r="AG9" s="56">
        <v>0.19900000000000001</v>
      </c>
      <c r="AH9" s="61">
        <v>83</v>
      </c>
      <c r="AI9" s="54">
        <f>AH9/((2729/1000)*($I9/1000000))</f>
        <v>18.450617135308296</v>
      </c>
      <c r="AJ9" s="55">
        <f>(AI9/$AI$15)</f>
        <v>0.61031510604740435</v>
      </c>
      <c r="AK9" s="56">
        <v>0.626</v>
      </c>
      <c r="AL9" s="50">
        <v>0</v>
      </c>
      <c r="AM9" s="31">
        <f>AL9/((17142/1000)*($I9/1000000))</f>
        <v>0</v>
      </c>
      <c r="AN9" s="34">
        <f>(AM9/$AM$16)</f>
        <v>0</v>
      </c>
      <c r="AO9" s="38">
        <v>0</v>
      </c>
      <c r="AP9" s="25">
        <v>0</v>
      </c>
      <c r="AQ9" s="32">
        <f>AP9/((14072/1000)*($I9/1000000))</f>
        <v>0</v>
      </c>
      <c r="AR9" s="35">
        <f t="shared" ref="AR9:AR26" si="0">(AQ9/$AQ$26)</f>
        <v>0</v>
      </c>
      <c r="AS9" s="35">
        <v>0</v>
      </c>
      <c r="AT9" s="76">
        <v>3</v>
      </c>
      <c r="AU9" s="77">
        <f>AT9/((14817/1000)*($I9/1000000))</f>
        <v>0.12282798128067567</v>
      </c>
      <c r="AV9" s="78">
        <f t="shared" ref="AV9:AV26" si="1">(AU9/$AU$26)</f>
        <v>3.470915528972745E-6</v>
      </c>
      <c r="AW9" s="79">
        <v>1.6E-2</v>
      </c>
      <c r="AX9" s="25">
        <v>0</v>
      </c>
      <c r="AY9" s="32">
        <f>AX9/((15205/1000)*($I9/1000000))</f>
        <v>0</v>
      </c>
      <c r="AZ9" s="35">
        <f t="shared" ref="AZ9:AZ26" si="2">(AY9/$AY$26)</f>
        <v>0</v>
      </c>
      <c r="BA9" s="42">
        <v>0</v>
      </c>
    </row>
    <row r="10" spans="2:53" x14ac:dyDescent="0.25">
      <c r="B10" s="87"/>
      <c r="C10" s="92"/>
      <c r="D10" s="19" t="s">
        <v>47</v>
      </c>
      <c r="E10" s="7" t="s">
        <v>24</v>
      </c>
      <c r="F10" s="7">
        <v>1537</v>
      </c>
      <c r="G10" s="7">
        <v>640</v>
      </c>
      <c r="H10" s="7">
        <v>2927</v>
      </c>
      <c r="I10" s="7">
        <f>789890</f>
        <v>789890</v>
      </c>
      <c r="J10" s="57">
        <v>182175</v>
      </c>
      <c r="K10" s="58">
        <f t="shared" ref="K10:K28" si="3">J10/((9332/1000)*($I10/1000000))</f>
        <v>24714.249821185094</v>
      </c>
      <c r="L10" s="55">
        <f t="shared" ref="L10:L26" si="4">(K10/$K$10)</f>
        <v>1</v>
      </c>
      <c r="M10" s="59">
        <v>1</v>
      </c>
      <c r="N10" s="62">
        <v>2478</v>
      </c>
      <c r="O10" s="58">
        <f t="shared" ref="O10:O28" si="5">N10/((7555/1000)*($I10/1000000))</f>
        <v>415.24098987587007</v>
      </c>
      <c r="P10" s="55">
        <f t="shared" ref="P10:P26" si="6">(O10/$O$10)</f>
        <v>1</v>
      </c>
      <c r="Q10" s="59">
        <v>0.76800000000000002</v>
      </c>
      <c r="R10" s="49">
        <v>0</v>
      </c>
      <c r="S10" s="33">
        <f t="shared" ref="S10:S28" si="7">R10/((7210/1000)*($I10/1000000))</f>
        <v>0</v>
      </c>
      <c r="T10" s="34">
        <f t="shared" ref="T10:T26" si="8">(S10/$S$17)</f>
        <v>0</v>
      </c>
      <c r="U10" s="39">
        <v>0</v>
      </c>
      <c r="V10" s="62">
        <v>8</v>
      </c>
      <c r="W10" s="58">
        <f t="shared" ref="W10:W28" si="9">V10/((1606/1000)*($I10/1000000))</f>
        <v>6.3063465163670891</v>
      </c>
      <c r="X10" s="55">
        <f t="shared" ref="X10:X26" si="10">(W10/$W$13)</f>
        <v>0.3746742045188664</v>
      </c>
      <c r="Y10" s="63">
        <v>0.36899999999999999</v>
      </c>
      <c r="Z10" s="49">
        <v>0</v>
      </c>
      <c r="AA10" s="33">
        <f t="shared" ref="AA10:AA28" si="11">Z10/((1351/1000)*($I10/1000000))</f>
        <v>0</v>
      </c>
      <c r="AB10" s="34">
        <f t="shared" ref="AB10:AB26" si="12">(AA10/$AA$14)</f>
        <v>0</v>
      </c>
      <c r="AC10" s="39">
        <v>0</v>
      </c>
      <c r="AD10" s="62">
        <v>36</v>
      </c>
      <c r="AE10" s="58">
        <f t="shared" ref="AE10:AE28" si="13">AD10/((6663/1000)*($I10/1000000))</f>
        <v>6.8401570274328316</v>
      </c>
      <c r="AF10" s="55">
        <f t="shared" ref="AF10:AF26" si="14">(AE10/$AE$16)</f>
        <v>0.83919938219245727</v>
      </c>
      <c r="AG10" s="59">
        <v>0.27100000000000002</v>
      </c>
      <c r="AH10" s="62">
        <v>45</v>
      </c>
      <c r="AI10" s="58">
        <f t="shared" ref="AI10:AI28" si="15">AH10/((2729/1000)*($I10/1000000))</f>
        <v>20.875763225441993</v>
      </c>
      <c r="AJ10" s="55">
        <f t="shared" ref="AJ10:AJ26" si="16">(AI10/$AI$15)</f>
        <v>0.69053482348698936</v>
      </c>
      <c r="AK10" s="59">
        <v>0.60299999999999998</v>
      </c>
      <c r="AL10" s="49">
        <v>0</v>
      </c>
      <c r="AM10" s="33">
        <f t="shared" ref="AM10:AM28" si="17">AL10/((17142/1000)*($I10/1000000))</f>
        <v>0</v>
      </c>
      <c r="AN10" s="34">
        <f t="shared" ref="AN10:AN26" si="18">(AM10/$AM$16)</f>
        <v>0</v>
      </c>
      <c r="AO10" s="39">
        <v>0</v>
      </c>
      <c r="AP10" s="49">
        <v>0</v>
      </c>
      <c r="AQ10" s="33">
        <f t="shared" ref="AQ10:AQ26" si="19">AP10/((14072/1000)*($I10/1000000))</f>
        <v>0</v>
      </c>
      <c r="AR10" s="34">
        <f t="shared" si="0"/>
        <v>0</v>
      </c>
      <c r="AS10" s="40">
        <v>0</v>
      </c>
      <c r="AT10" s="65">
        <v>1</v>
      </c>
      <c r="AU10" s="66">
        <f t="shared" ref="AU10:AU26" si="20">AT10/((14817/1000)*($I10/1000000))</f>
        <v>8.5442334019078983E-2</v>
      </c>
      <c r="AV10" s="67">
        <f t="shared" si="1"/>
        <v>2.4144589928643182E-6</v>
      </c>
      <c r="AW10" s="75">
        <v>8.9999999999999993E-3</v>
      </c>
      <c r="AX10" s="49">
        <v>0</v>
      </c>
      <c r="AY10" s="33">
        <f t="shared" ref="AY10:AY26" si="21">AX10/((15205/1000)*($I10/1000000))</f>
        <v>0</v>
      </c>
      <c r="AZ10" s="34">
        <f t="shared" si="2"/>
        <v>0</v>
      </c>
      <c r="BA10" s="41">
        <v>0</v>
      </c>
    </row>
    <row r="11" spans="2:53" x14ac:dyDescent="0.25">
      <c r="B11" s="87"/>
      <c r="C11" s="92"/>
      <c r="D11" s="19" t="s">
        <v>48</v>
      </c>
      <c r="E11" s="7" t="s">
        <v>25</v>
      </c>
      <c r="F11" s="7">
        <v>1197</v>
      </c>
      <c r="G11" s="7">
        <v>454</v>
      </c>
      <c r="H11" s="7">
        <v>2196</v>
      </c>
      <c r="I11" s="7">
        <f>628532+712728</f>
        <v>1341260</v>
      </c>
      <c r="J11" s="57">
        <v>88196</v>
      </c>
      <c r="K11" s="58">
        <f t="shared" si="3"/>
        <v>7046.3009112497866</v>
      </c>
      <c r="L11" s="55">
        <f t="shared" si="4"/>
        <v>0.28511085556842136</v>
      </c>
      <c r="M11" s="59">
        <v>1</v>
      </c>
      <c r="N11" s="84">
        <v>17</v>
      </c>
      <c r="O11" s="81">
        <f t="shared" si="5"/>
        <v>1.6776504580336085</v>
      </c>
      <c r="P11" s="82">
        <f t="shared" si="6"/>
        <v>4.0401850947689834E-3</v>
      </c>
      <c r="Q11" s="83">
        <v>0.154</v>
      </c>
      <c r="R11" s="49">
        <v>0</v>
      </c>
      <c r="S11" s="33">
        <f t="shared" si="7"/>
        <v>0</v>
      </c>
      <c r="T11" s="34">
        <f t="shared" si="8"/>
        <v>0</v>
      </c>
      <c r="U11" s="39">
        <v>0</v>
      </c>
      <c r="V11" s="49">
        <v>0</v>
      </c>
      <c r="W11" s="33">
        <f t="shared" si="9"/>
        <v>0</v>
      </c>
      <c r="X11" s="34">
        <f t="shared" si="10"/>
        <v>0</v>
      </c>
      <c r="Y11" s="40">
        <v>0</v>
      </c>
      <c r="Z11" s="49">
        <v>0</v>
      </c>
      <c r="AA11" s="33">
        <f t="shared" si="11"/>
        <v>0</v>
      </c>
      <c r="AB11" s="34">
        <f t="shared" si="12"/>
        <v>0</v>
      </c>
      <c r="AC11" s="39">
        <v>0</v>
      </c>
      <c r="AD11" s="62">
        <v>1</v>
      </c>
      <c r="AE11" s="58">
        <f t="shared" si="13"/>
        <v>0.11189668326794952</v>
      </c>
      <c r="AF11" s="55">
        <f t="shared" si="14"/>
        <v>1.3728285343632109E-2</v>
      </c>
      <c r="AG11" s="59">
        <v>1.9E-2</v>
      </c>
      <c r="AH11" s="62">
        <v>16</v>
      </c>
      <c r="AI11" s="58">
        <f t="shared" si="15"/>
        <v>4.371228145778514</v>
      </c>
      <c r="AJ11" s="55">
        <f t="shared" si="16"/>
        <v>0.14459280954038589</v>
      </c>
      <c r="AK11" s="59">
        <v>0.374</v>
      </c>
      <c r="AL11" s="49">
        <v>0</v>
      </c>
      <c r="AM11" s="33">
        <f t="shared" si="17"/>
        <v>0</v>
      </c>
      <c r="AN11" s="34">
        <f t="shared" si="18"/>
        <v>0</v>
      </c>
      <c r="AO11" s="39">
        <v>0</v>
      </c>
      <c r="AP11" s="49">
        <v>0</v>
      </c>
      <c r="AQ11" s="33">
        <f t="shared" si="19"/>
        <v>0</v>
      </c>
      <c r="AR11" s="34">
        <f t="shared" si="0"/>
        <v>0</v>
      </c>
      <c r="AS11" s="40">
        <v>0</v>
      </c>
      <c r="AT11" s="49">
        <v>0</v>
      </c>
      <c r="AU11" s="33">
        <f t="shared" si="20"/>
        <v>0</v>
      </c>
      <c r="AV11" s="34">
        <f t="shared" si="1"/>
        <v>0</v>
      </c>
      <c r="AW11" s="41">
        <v>0</v>
      </c>
      <c r="AX11" s="49">
        <v>0</v>
      </c>
      <c r="AY11" s="33">
        <f t="shared" si="21"/>
        <v>0</v>
      </c>
      <c r="AZ11" s="34">
        <f t="shared" si="2"/>
        <v>0</v>
      </c>
      <c r="BA11" s="41">
        <v>0</v>
      </c>
    </row>
    <row r="12" spans="2:53" x14ac:dyDescent="0.25">
      <c r="B12" s="87"/>
      <c r="C12" s="92" t="s">
        <v>64</v>
      </c>
      <c r="D12" s="19" t="s">
        <v>49</v>
      </c>
      <c r="E12" s="7" t="s">
        <v>26</v>
      </c>
      <c r="F12" s="7">
        <v>408</v>
      </c>
      <c r="G12" s="7">
        <v>126</v>
      </c>
      <c r="H12" s="7">
        <v>1634</v>
      </c>
      <c r="I12" s="7">
        <f>402117+173612</f>
        <v>575729</v>
      </c>
      <c r="J12" s="80">
        <v>493</v>
      </c>
      <c r="K12" s="81">
        <f t="shared" si="3"/>
        <v>91.760143345112482</v>
      </c>
      <c r="L12" s="82">
        <f t="shared" si="4"/>
        <v>3.7128435622778054E-3</v>
      </c>
      <c r="M12" s="83">
        <v>0.62</v>
      </c>
      <c r="N12" s="62">
        <v>291</v>
      </c>
      <c r="O12" s="58">
        <f t="shared" si="5"/>
        <v>66.902202345667305</v>
      </c>
      <c r="P12" s="55">
        <f t="shared" si="6"/>
        <v>0.16111656598657731</v>
      </c>
      <c r="Q12" s="59">
        <v>0.36399999999999999</v>
      </c>
      <c r="R12" s="49">
        <v>0</v>
      </c>
      <c r="S12" s="33">
        <f t="shared" si="7"/>
        <v>0</v>
      </c>
      <c r="T12" s="34">
        <f t="shared" si="8"/>
        <v>0</v>
      </c>
      <c r="U12" s="39">
        <v>0</v>
      </c>
      <c r="V12" s="49">
        <v>0</v>
      </c>
      <c r="W12" s="33">
        <f t="shared" si="9"/>
        <v>0</v>
      </c>
      <c r="X12" s="34">
        <f t="shared" si="10"/>
        <v>0</v>
      </c>
      <c r="Y12" s="40">
        <v>0</v>
      </c>
      <c r="Z12" s="49">
        <v>0</v>
      </c>
      <c r="AA12" s="33">
        <f t="shared" si="11"/>
        <v>0</v>
      </c>
      <c r="AB12" s="34">
        <f t="shared" si="12"/>
        <v>0</v>
      </c>
      <c r="AC12" s="39">
        <v>0</v>
      </c>
      <c r="AD12" s="49">
        <v>0</v>
      </c>
      <c r="AE12" s="33">
        <f t="shared" si="13"/>
        <v>0</v>
      </c>
      <c r="AF12" s="34">
        <f t="shared" si="14"/>
        <v>0</v>
      </c>
      <c r="AG12" s="39">
        <v>0</v>
      </c>
      <c r="AH12" s="49">
        <v>0</v>
      </c>
      <c r="AI12" s="33">
        <f t="shared" si="15"/>
        <v>0</v>
      </c>
      <c r="AJ12" s="34">
        <f t="shared" si="16"/>
        <v>0</v>
      </c>
      <c r="AK12" s="39">
        <v>0</v>
      </c>
      <c r="AL12" s="49">
        <v>0</v>
      </c>
      <c r="AM12" s="33">
        <f t="shared" si="17"/>
        <v>0</v>
      </c>
      <c r="AN12" s="34">
        <f t="shared" si="18"/>
        <v>0</v>
      </c>
      <c r="AO12" s="39">
        <v>0</v>
      </c>
      <c r="AP12" s="49">
        <v>0</v>
      </c>
      <c r="AQ12" s="33">
        <f t="shared" si="19"/>
        <v>0</v>
      </c>
      <c r="AR12" s="34">
        <f t="shared" si="0"/>
        <v>0</v>
      </c>
      <c r="AS12" s="40">
        <v>0</v>
      </c>
      <c r="AT12" s="49">
        <v>0</v>
      </c>
      <c r="AU12" s="33">
        <f t="shared" si="20"/>
        <v>0</v>
      </c>
      <c r="AV12" s="34">
        <f t="shared" si="1"/>
        <v>0</v>
      </c>
      <c r="AW12" s="41">
        <v>0</v>
      </c>
      <c r="AX12" s="49">
        <v>0</v>
      </c>
      <c r="AY12" s="33">
        <f t="shared" si="21"/>
        <v>0</v>
      </c>
      <c r="AZ12" s="34">
        <f t="shared" si="2"/>
        <v>0</v>
      </c>
      <c r="BA12" s="41">
        <v>0</v>
      </c>
    </row>
    <row r="13" spans="2:53" x14ac:dyDescent="0.25">
      <c r="B13" s="87"/>
      <c r="C13" s="92"/>
      <c r="D13" s="19" t="s">
        <v>50</v>
      </c>
      <c r="E13" s="7" t="s">
        <v>27</v>
      </c>
      <c r="F13" s="7">
        <v>882</v>
      </c>
      <c r="G13" s="7">
        <v>281</v>
      </c>
      <c r="H13" s="7">
        <v>1200</v>
      </c>
      <c r="I13" s="7">
        <f>559624+439212</f>
        <v>998836</v>
      </c>
      <c r="J13" s="60">
        <v>9688</v>
      </c>
      <c r="K13" s="58">
        <f t="shared" si="3"/>
        <v>1039.3581197523777</v>
      </c>
      <c r="L13" s="55">
        <f t="shared" si="4"/>
        <v>4.2055013899772037E-2</v>
      </c>
      <c r="M13" s="59">
        <v>1</v>
      </c>
      <c r="N13" s="62">
        <v>480</v>
      </c>
      <c r="O13" s="58">
        <f t="shared" si="5"/>
        <v>63.608123243940405</v>
      </c>
      <c r="P13" s="55">
        <f t="shared" si="6"/>
        <v>0.15318363262488868</v>
      </c>
      <c r="Q13" s="59">
        <v>0.65300000000000002</v>
      </c>
      <c r="R13" s="49">
        <v>0</v>
      </c>
      <c r="S13" s="33">
        <f t="shared" si="7"/>
        <v>0</v>
      </c>
      <c r="T13" s="34">
        <f t="shared" si="8"/>
        <v>0</v>
      </c>
      <c r="U13" s="39">
        <v>0</v>
      </c>
      <c r="V13" s="64">
        <v>27</v>
      </c>
      <c r="W13" s="58">
        <f t="shared" si="9"/>
        <v>16.831547088931067</v>
      </c>
      <c r="X13" s="55">
        <f t="shared" si="10"/>
        <v>1</v>
      </c>
      <c r="Y13" s="63">
        <v>0.63</v>
      </c>
      <c r="Z13" s="64">
        <v>2</v>
      </c>
      <c r="AA13" s="58">
        <f t="shared" si="11"/>
        <v>1.4821100762027195</v>
      </c>
      <c r="AB13" s="55">
        <f t="shared" si="12"/>
        <v>0.44507456679575041</v>
      </c>
      <c r="AC13" s="59">
        <v>0.16700000000000001</v>
      </c>
      <c r="AD13" s="64">
        <v>14</v>
      </c>
      <c r="AE13" s="58">
        <f t="shared" si="13"/>
        <v>2.1036042309243759</v>
      </c>
      <c r="AF13" s="55">
        <f t="shared" si="14"/>
        <v>0.25808521118582034</v>
      </c>
      <c r="AG13" s="59">
        <v>0.159</v>
      </c>
      <c r="AH13" s="62">
        <v>16</v>
      </c>
      <c r="AI13" s="58">
        <f t="shared" si="15"/>
        <v>5.8697858935870242</v>
      </c>
      <c r="AJ13" s="55">
        <f t="shared" si="16"/>
        <v>0.19416255694041659</v>
      </c>
      <c r="AK13" s="59">
        <v>0.30199999999999999</v>
      </c>
      <c r="AL13" s="49">
        <v>0</v>
      </c>
      <c r="AM13" s="33">
        <f t="shared" si="17"/>
        <v>0</v>
      </c>
      <c r="AN13" s="34">
        <f t="shared" si="18"/>
        <v>0</v>
      </c>
      <c r="AO13" s="39">
        <v>0</v>
      </c>
      <c r="AP13" s="49">
        <v>0</v>
      </c>
      <c r="AQ13" s="33">
        <f t="shared" si="19"/>
        <v>0</v>
      </c>
      <c r="AR13" s="34">
        <f t="shared" si="0"/>
        <v>0</v>
      </c>
      <c r="AS13" s="40">
        <v>0</v>
      </c>
      <c r="AT13" s="65">
        <v>2</v>
      </c>
      <c r="AU13" s="66">
        <f t="shared" si="20"/>
        <v>0.13513739035903852</v>
      </c>
      <c r="AV13" s="67">
        <f t="shared" si="1"/>
        <v>3.8187590632968698E-6</v>
      </c>
      <c r="AW13" s="75">
        <v>1.4999999999999999E-2</v>
      </c>
      <c r="AX13" s="49">
        <v>0</v>
      </c>
      <c r="AY13" s="33">
        <f t="shared" si="21"/>
        <v>0</v>
      </c>
      <c r="AZ13" s="34">
        <f t="shared" si="2"/>
        <v>0</v>
      </c>
      <c r="BA13" s="41">
        <v>0</v>
      </c>
    </row>
    <row r="14" spans="2:53" x14ac:dyDescent="0.25">
      <c r="B14" s="87"/>
      <c r="C14" s="92"/>
      <c r="D14" s="19" t="s">
        <v>51</v>
      </c>
      <c r="E14" s="7" t="s">
        <v>28</v>
      </c>
      <c r="F14" s="7">
        <v>765</v>
      </c>
      <c r="G14" s="7">
        <v>248</v>
      </c>
      <c r="H14" s="7">
        <v>1192</v>
      </c>
      <c r="I14" s="7">
        <f>437135+451978</f>
        <v>889113</v>
      </c>
      <c r="J14" s="60">
        <v>6098</v>
      </c>
      <c r="K14" s="58">
        <f t="shared" si="3"/>
        <v>734.94650615564171</v>
      </c>
      <c r="L14" s="55">
        <f t="shared" si="4"/>
        <v>2.9737763091058682E-2</v>
      </c>
      <c r="M14" s="59">
        <v>0.94399999999999995</v>
      </c>
      <c r="N14" s="62">
        <v>86</v>
      </c>
      <c r="O14" s="58">
        <f t="shared" si="5"/>
        <v>12.802860761721847</v>
      </c>
      <c r="P14" s="55">
        <f t="shared" si="6"/>
        <v>3.0832362589129428E-2</v>
      </c>
      <c r="Q14" s="59">
        <v>0.314</v>
      </c>
      <c r="R14" s="49">
        <v>0</v>
      </c>
      <c r="S14" s="33">
        <f t="shared" si="7"/>
        <v>0</v>
      </c>
      <c r="T14" s="34">
        <f t="shared" si="8"/>
        <v>0</v>
      </c>
      <c r="U14" s="39">
        <v>0</v>
      </c>
      <c r="V14" s="64">
        <v>15</v>
      </c>
      <c r="W14" s="58">
        <f t="shared" si="9"/>
        <v>10.50482345146202</v>
      </c>
      <c r="X14" s="55">
        <f t="shared" si="10"/>
        <v>0.62411514496907461</v>
      </c>
      <c r="Y14" s="63">
        <v>0.36099999999999999</v>
      </c>
      <c r="Z14" s="64">
        <v>4</v>
      </c>
      <c r="AA14" s="58">
        <f t="shared" si="11"/>
        <v>3.3300264422497907</v>
      </c>
      <c r="AB14" s="55">
        <f t="shared" si="12"/>
        <v>1</v>
      </c>
      <c r="AC14" s="59">
        <v>0.247</v>
      </c>
      <c r="AD14" s="51">
        <v>0</v>
      </c>
      <c r="AE14" s="33">
        <f t="shared" si="13"/>
        <v>0</v>
      </c>
      <c r="AF14" s="34">
        <f t="shared" si="14"/>
        <v>0</v>
      </c>
      <c r="AG14" s="39">
        <v>0</v>
      </c>
      <c r="AH14" s="49">
        <v>0</v>
      </c>
      <c r="AI14" s="33">
        <f t="shared" si="15"/>
        <v>0</v>
      </c>
      <c r="AJ14" s="34">
        <f t="shared" si="16"/>
        <v>0</v>
      </c>
      <c r="AK14" s="39">
        <v>0</v>
      </c>
      <c r="AL14" s="49">
        <v>0</v>
      </c>
      <c r="AM14" s="33">
        <f t="shared" si="17"/>
        <v>0</v>
      </c>
      <c r="AN14" s="34">
        <f t="shared" si="18"/>
        <v>0</v>
      </c>
      <c r="AO14" s="39">
        <v>0</v>
      </c>
      <c r="AP14" s="49">
        <v>0</v>
      </c>
      <c r="AQ14" s="33">
        <f t="shared" si="19"/>
        <v>0</v>
      </c>
      <c r="AR14" s="34">
        <f t="shared" si="0"/>
        <v>0</v>
      </c>
      <c r="AS14" s="40">
        <v>0</v>
      </c>
      <c r="AT14" s="49">
        <v>0</v>
      </c>
      <c r="AU14" s="33">
        <f t="shared" si="20"/>
        <v>0</v>
      </c>
      <c r="AV14" s="34">
        <f t="shared" si="1"/>
        <v>0</v>
      </c>
      <c r="AW14" s="41">
        <v>0</v>
      </c>
      <c r="AX14" s="49">
        <v>0</v>
      </c>
      <c r="AY14" s="33">
        <f t="shared" si="21"/>
        <v>0</v>
      </c>
      <c r="AZ14" s="34">
        <f t="shared" si="2"/>
        <v>0</v>
      </c>
      <c r="BA14" s="41">
        <v>0</v>
      </c>
    </row>
    <row r="15" spans="2:53" x14ac:dyDescent="0.25">
      <c r="B15" s="87"/>
      <c r="C15" s="92" t="s">
        <v>65</v>
      </c>
      <c r="D15" s="19" t="s">
        <v>52</v>
      </c>
      <c r="E15" s="7" t="s">
        <v>29</v>
      </c>
      <c r="F15" s="8">
        <v>474</v>
      </c>
      <c r="G15" s="8">
        <v>127</v>
      </c>
      <c r="H15" s="8">
        <v>1076</v>
      </c>
      <c r="I15" s="8">
        <f>14396+183704+153410</f>
        <v>351510</v>
      </c>
      <c r="J15" s="60">
        <v>4819</v>
      </c>
      <c r="K15" s="58">
        <f t="shared" si="3"/>
        <v>1469.0768379681592</v>
      </c>
      <c r="L15" s="55">
        <f t="shared" si="4"/>
        <v>5.9442501738768708E-2</v>
      </c>
      <c r="M15" s="59">
        <v>0.97</v>
      </c>
      <c r="N15" s="62">
        <v>254</v>
      </c>
      <c r="O15" s="58">
        <f t="shared" si="5"/>
        <v>95.644844034042706</v>
      </c>
      <c r="P15" s="55">
        <f t="shared" si="6"/>
        <v>0.23033574807399015</v>
      </c>
      <c r="Q15" s="59">
        <v>0.376</v>
      </c>
      <c r="R15" s="49">
        <v>0</v>
      </c>
      <c r="S15" s="33">
        <f t="shared" si="7"/>
        <v>0</v>
      </c>
      <c r="T15" s="34">
        <f t="shared" si="8"/>
        <v>0</v>
      </c>
      <c r="U15" s="39">
        <v>0</v>
      </c>
      <c r="V15" s="62">
        <v>3</v>
      </c>
      <c r="W15" s="58">
        <f t="shared" si="9"/>
        <v>5.3142016405790731</v>
      </c>
      <c r="X15" s="55">
        <f t="shared" si="10"/>
        <v>0.31572865004630812</v>
      </c>
      <c r="Y15" s="63">
        <v>0.125</v>
      </c>
      <c r="Z15" s="49">
        <v>0</v>
      </c>
      <c r="AA15" s="33">
        <f t="shared" si="11"/>
        <v>0</v>
      </c>
      <c r="AB15" s="34">
        <f t="shared" si="12"/>
        <v>0</v>
      </c>
      <c r="AC15" s="39">
        <v>0</v>
      </c>
      <c r="AD15" s="62">
        <v>12</v>
      </c>
      <c r="AE15" s="58">
        <f t="shared" si="13"/>
        <v>5.1235826713312269</v>
      </c>
      <c r="AF15" s="55">
        <f t="shared" si="14"/>
        <v>0.62859776393274736</v>
      </c>
      <c r="AG15" s="59">
        <v>0.122</v>
      </c>
      <c r="AH15" s="62">
        <v>29</v>
      </c>
      <c r="AI15" s="58">
        <f t="shared" si="15"/>
        <v>30.231296837465464</v>
      </c>
      <c r="AJ15" s="55">
        <f t="shared" si="16"/>
        <v>1</v>
      </c>
      <c r="AK15" s="59">
        <v>0.42699999999999999</v>
      </c>
      <c r="AL15" s="84">
        <v>2</v>
      </c>
      <c r="AM15" s="81">
        <f t="shared" si="17"/>
        <v>0.3319180116971957</v>
      </c>
      <c r="AN15" s="82">
        <f t="shared" si="18"/>
        <v>5.9754911206961038E-5</v>
      </c>
      <c r="AO15" s="83">
        <v>1.2E-2</v>
      </c>
      <c r="AP15" s="49">
        <v>0</v>
      </c>
      <c r="AQ15" s="33">
        <f t="shared" si="19"/>
        <v>0</v>
      </c>
      <c r="AR15" s="34">
        <f t="shared" si="0"/>
        <v>0</v>
      </c>
      <c r="AS15" s="40">
        <v>0</v>
      </c>
      <c r="AT15" s="49">
        <v>0</v>
      </c>
      <c r="AU15" s="33">
        <f t="shared" si="20"/>
        <v>0</v>
      </c>
      <c r="AV15" s="34">
        <f t="shared" si="1"/>
        <v>0</v>
      </c>
      <c r="AW15" s="41">
        <v>0</v>
      </c>
      <c r="AX15" s="49">
        <v>0</v>
      </c>
      <c r="AY15" s="33">
        <f t="shared" si="21"/>
        <v>0</v>
      </c>
      <c r="AZ15" s="34">
        <f t="shared" si="2"/>
        <v>0</v>
      </c>
      <c r="BA15" s="41">
        <v>0</v>
      </c>
    </row>
    <row r="16" spans="2:53" x14ac:dyDescent="0.25">
      <c r="B16" s="87"/>
      <c r="C16" s="92"/>
      <c r="D16" s="19" t="s">
        <v>53</v>
      </c>
      <c r="E16" s="7" t="s">
        <v>30</v>
      </c>
      <c r="F16" s="7">
        <v>362</v>
      </c>
      <c r="G16" s="7">
        <v>116</v>
      </c>
      <c r="H16" s="7">
        <v>2699</v>
      </c>
      <c r="I16" s="7">
        <f>94044+182154</f>
        <v>276198</v>
      </c>
      <c r="J16" s="60">
        <v>40838</v>
      </c>
      <c r="K16" s="58">
        <f t="shared" si="3"/>
        <v>15844.159482462754</v>
      </c>
      <c r="L16" s="55">
        <f t="shared" si="4"/>
        <v>0.64109408932498191</v>
      </c>
      <c r="M16" s="59">
        <v>0.98699999999999999</v>
      </c>
      <c r="N16" s="62">
        <v>636</v>
      </c>
      <c r="O16" s="58">
        <f t="shared" si="5"/>
        <v>304.79098505326573</v>
      </c>
      <c r="P16" s="55">
        <f t="shared" si="6"/>
        <v>0.73400987013439667</v>
      </c>
      <c r="Q16" s="59">
        <v>0.53900000000000003</v>
      </c>
      <c r="R16" s="49">
        <v>0</v>
      </c>
      <c r="S16" s="33">
        <f t="shared" si="7"/>
        <v>0</v>
      </c>
      <c r="T16" s="34">
        <f t="shared" si="8"/>
        <v>0</v>
      </c>
      <c r="U16" s="39">
        <v>0</v>
      </c>
      <c r="V16" s="49">
        <v>0</v>
      </c>
      <c r="W16" s="33">
        <f t="shared" si="9"/>
        <v>0</v>
      </c>
      <c r="X16" s="34">
        <f t="shared" si="10"/>
        <v>0</v>
      </c>
      <c r="Y16" s="40">
        <v>0</v>
      </c>
      <c r="Z16" s="49">
        <v>0</v>
      </c>
      <c r="AA16" s="33">
        <f t="shared" si="11"/>
        <v>0</v>
      </c>
      <c r="AB16" s="34">
        <f t="shared" si="12"/>
        <v>0</v>
      </c>
      <c r="AC16" s="39">
        <v>0</v>
      </c>
      <c r="AD16" s="62">
        <v>15</v>
      </c>
      <c r="AE16" s="58">
        <f t="shared" si="13"/>
        <v>8.1508127538923141</v>
      </c>
      <c r="AF16" s="55">
        <f t="shared" si="14"/>
        <v>1</v>
      </c>
      <c r="AG16" s="59">
        <v>9.0999999999999998E-2</v>
      </c>
      <c r="AH16" s="62">
        <v>2</v>
      </c>
      <c r="AI16" s="58">
        <f t="shared" si="15"/>
        <v>2.6534195861333574</v>
      </c>
      <c r="AJ16" s="55">
        <f t="shared" si="16"/>
        <v>8.7770617330745482E-2</v>
      </c>
      <c r="AK16" s="59">
        <v>0.09</v>
      </c>
      <c r="AL16" s="62">
        <v>26299</v>
      </c>
      <c r="AM16" s="58">
        <f t="shared" si="17"/>
        <v>5554.6565963021549</v>
      </c>
      <c r="AN16" s="55">
        <f t="shared" si="18"/>
        <v>1</v>
      </c>
      <c r="AO16" s="59">
        <v>0.999</v>
      </c>
      <c r="AP16" s="49">
        <v>0</v>
      </c>
      <c r="AQ16" s="33">
        <f t="shared" si="19"/>
        <v>0</v>
      </c>
      <c r="AR16" s="34">
        <f t="shared" si="0"/>
        <v>0</v>
      </c>
      <c r="AS16" s="40">
        <v>0</v>
      </c>
      <c r="AT16" s="49">
        <v>0</v>
      </c>
      <c r="AU16" s="33">
        <f t="shared" si="20"/>
        <v>0</v>
      </c>
      <c r="AV16" s="34">
        <f t="shared" si="1"/>
        <v>0</v>
      </c>
      <c r="AW16" s="41">
        <v>0</v>
      </c>
      <c r="AX16" s="49">
        <v>0</v>
      </c>
      <c r="AY16" s="33">
        <f t="shared" si="21"/>
        <v>0</v>
      </c>
      <c r="AZ16" s="34">
        <f t="shared" si="2"/>
        <v>0</v>
      </c>
      <c r="BA16" s="41">
        <v>0</v>
      </c>
    </row>
    <row r="17" spans="2:53" x14ac:dyDescent="0.25">
      <c r="B17" s="87"/>
      <c r="C17" s="92" t="s">
        <v>66</v>
      </c>
      <c r="D17" s="19" t="s">
        <v>54</v>
      </c>
      <c r="E17" s="7" t="s">
        <v>31</v>
      </c>
      <c r="F17" s="7">
        <v>1123</v>
      </c>
      <c r="G17" s="7">
        <v>271</v>
      </c>
      <c r="H17" s="7">
        <v>1062</v>
      </c>
      <c r="I17" s="7">
        <f>192639+786430</f>
        <v>979069</v>
      </c>
      <c r="J17" s="60">
        <v>83725</v>
      </c>
      <c r="K17" s="58">
        <f t="shared" si="3"/>
        <v>9163.6211569215957</v>
      </c>
      <c r="L17" s="55">
        <f t="shared" si="4"/>
        <v>0.37078289744674042</v>
      </c>
      <c r="M17" s="59">
        <v>0.998</v>
      </c>
      <c r="N17" s="62">
        <v>44</v>
      </c>
      <c r="O17" s="58">
        <f t="shared" si="5"/>
        <v>5.9484649641081555</v>
      </c>
      <c r="P17" s="55">
        <f t="shared" si="6"/>
        <v>1.4325331817281232E-2</v>
      </c>
      <c r="Q17" s="59">
        <v>0.2</v>
      </c>
      <c r="R17" s="62">
        <v>3</v>
      </c>
      <c r="S17" s="58">
        <f t="shared" si="7"/>
        <v>0.42498410796718999</v>
      </c>
      <c r="T17" s="55">
        <f t="shared" si="8"/>
        <v>1</v>
      </c>
      <c r="U17" s="59">
        <v>2.3E-2</v>
      </c>
      <c r="V17" s="62">
        <v>2</v>
      </c>
      <c r="W17" s="58">
        <f t="shared" si="9"/>
        <v>1.2719532662695889</v>
      </c>
      <c r="X17" s="55">
        <f t="shared" si="10"/>
        <v>7.5569599131268428E-2</v>
      </c>
      <c r="Y17" s="63">
        <v>0.17199999999999999</v>
      </c>
      <c r="Z17" s="49">
        <v>0</v>
      </c>
      <c r="AA17" s="33">
        <f t="shared" si="11"/>
        <v>0</v>
      </c>
      <c r="AB17" s="34">
        <f t="shared" si="12"/>
        <v>0</v>
      </c>
      <c r="AC17" s="39">
        <v>0</v>
      </c>
      <c r="AD17" s="49">
        <v>0</v>
      </c>
      <c r="AE17" s="33">
        <f t="shared" si="13"/>
        <v>0</v>
      </c>
      <c r="AF17" s="34">
        <f t="shared" si="14"/>
        <v>0</v>
      </c>
      <c r="AG17" s="39">
        <v>0</v>
      </c>
      <c r="AH17" s="49">
        <v>0</v>
      </c>
      <c r="AI17" s="33">
        <f t="shared" si="15"/>
        <v>0</v>
      </c>
      <c r="AJ17" s="34">
        <f t="shared" si="16"/>
        <v>0</v>
      </c>
      <c r="AK17" s="39">
        <v>0</v>
      </c>
      <c r="AL17" s="49">
        <v>0</v>
      </c>
      <c r="AM17" s="33">
        <f t="shared" si="17"/>
        <v>0</v>
      </c>
      <c r="AN17" s="34">
        <f t="shared" si="18"/>
        <v>0</v>
      </c>
      <c r="AO17" s="39">
        <v>0</v>
      </c>
      <c r="AP17" s="49">
        <v>0</v>
      </c>
      <c r="AQ17" s="33">
        <f t="shared" si="19"/>
        <v>0</v>
      </c>
      <c r="AR17" s="34">
        <f t="shared" si="0"/>
        <v>0</v>
      </c>
      <c r="AS17" s="40">
        <v>0</v>
      </c>
      <c r="AT17" s="65">
        <v>2</v>
      </c>
      <c r="AU17" s="66">
        <f t="shared" si="20"/>
        <v>0.13786575863055678</v>
      </c>
      <c r="AV17" s="67">
        <f t="shared" si="1"/>
        <v>3.8958582364952754E-6</v>
      </c>
      <c r="AW17" s="75">
        <v>0.01</v>
      </c>
      <c r="AX17" s="49">
        <v>0</v>
      </c>
      <c r="AY17" s="33">
        <f t="shared" si="21"/>
        <v>0</v>
      </c>
      <c r="AZ17" s="34">
        <f t="shared" si="2"/>
        <v>0</v>
      </c>
      <c r="BA17" s="41">
        <v>0</v>
      </c>
    </row>
    <row r="18" spans="2:53" x14ac:dyDescent="0.25">
      <c r="B18" s="87"/>
      <c r="C18" s="92"/>
      <c r="D18" s="19" t="s">
        <v>55</v>
      </c>
      <c r="E18" s="8" t="s">
        <v>32</v>
      </c>
      <c r="F18" s="8">
        <v>950</v>
      </c>
      <c r="G18" s="8">
        <v>150</v>
      </c>
      <c r="H18" s="8">
        <v>760</v>
      </c>
      <c r="I18" s="8">
        <f>212386+885144</f>
        <v>1097530</v>
      </c>
      <c r="J18" s="60">
        <v>23957</v>
      </c>
      <c r="K18" s="58">
        <f t="shared" si="3"/>
        <v>2339.0596792238339</v>
      </c>
      <c r="L18" s="55">
        <f t="shared" si="4"/>
        <v>9.4644170717202519E-2</v>
      </c>
      <c r="M18" s="59">
        <v>0.94699999999999995</v>
      </c>
      <c r="N18" s="84">
        <v>1</v>
      </c>
      <c r="O18" s="81">
        <f t="shared" si="5"/>
        <v>0.12060050634243188</v>
      </c>
      <c r="P18" s="82">
        <f t="shared" si="6"/>
        <v>2.9043497458784972E-4</v>
      </c>
      <c r="Q18" s="83">
        <v>2.7E-2</v>
      </c>
      <c r="R18" s="49">
        <v>0</v>
      </c>
      <c r="S18" s="33">
        <f t="shared" si="7"/>
        <v>0</v>
      </c>
      <c r="T18" s="34">
        <f t="shared" si="8"/>
        <v>0</v>
      </c>
      <c r="U18" s="39">
        <v>0</v>
      </c>
      <c r="V18" s="49">
        <v>0</v>
      </c>
      <c r="W18" s="33">
        <f t="shared" si="9"/>
        <v>0</v>
      </c>
      <c r="X18" s="34">
        <f t="shared" si="10"/>
        <v>0</v>
      </c>
      <c r="Y18" s="40">
        <v>0</v>
      </c>
      <c r="Z18" s="49">
        <v>0</v>
      </c>
      <c r="AA18" s="33">
        <f t="shared" si="11"/>
        <v>0</v>
      </c>
      <c r="AB18" s="34">
        <f t="shared" si="12"/>
        <v>0</v>
      </c>
      <c r="AC18" s="39">
        <v>0</v>
      </c>
      <c r="AD18" s="49">
        <v>0</v>
      </c>
      <c r="AE18" s="33">
        <f t="shared" si="13"/>
        <v>0</v>
      </c>
      <c r="AF18" s="34">
        <f t="shared" si="14"/>
        <v>0</v>
      </c>
      <c r="AG18" s="39">
        <v>0</v>
      </c>
      <c r="AH18" s="49">
        <v>0</v>
      </c>
      <c r="AI18" s="33">
        <f t="shared" si="15"/>
        <v>0</v>
      </c>
      <c r="AJ18" s="34">
        <f t="shared" si="16"/>
        <v>0</v>
      </c>
      <c r="AK18" s="39">
        <v>0</v>
      </c>
      <c r="AL18" s="49">
        <v>0</v>
      </c>
      <c r="AM18" s="33">
        <f t="shared" si="17"/>
        <v>0</v>
      </c>
      <c r="AN18" s="34">
        <f t="shared" si="18"/>
        <v>0</v>
      </c>
      <c r="AO18" s="39">
        <v>0</v>
      </c>
      <c r="AP18" s="65">
        <v>2</v>
      </c>
      <c r="AQ18" s="66">
        <f t="shared" si="19"/>
        <v>0.12949642203198877</v>
      </c>
      <c r="AR18" s="67">
        <f t="shared" si="0"/>
        <v>2.4316823922471554E-4</v>
      </c>
      <c r="AS18" s="74">
        <v>8.9999999999999993E-3</v>
      </c>
      <c r="AT18" s="49">
        <v>0</v>
      </c>
      <c r="AU18" s="33">
        <f t="shared" si="20"/>
        <v>0</v>
      </c>
      <c r="AV18" s="34">
        <f t="shared" si="1"/>
        <v>0</v>
      </c>
      <c r="AW18" s="41">
        <v>0</v>
      </c>
      <c r="AX18" s="49">
        <v>0</v>
      </c>
      <c r="AY18" s="33">
        <f t="shared" si="21"/>
        <v>0</v>
      </c>
      <c r="AZ18" s="34">
        <f t="shared" si="2"/>
        <v>0</v>
      </c>
      <c r="BA18" s="41">
        <v>0</v>
      </c>
    </row>
    <row r="19" spans="2:53" x14ac:dyDescent="0.25">
      <c r="B19" s="87"/>
      <c r="C19" s="92" t="s">
        <v>67</v>
      </c>
      <c r="D19" s="19" t="s">
        <v>56</v>
      </c>
      <c r="E19" s="8" t="s">
        <v>33</v>
      </c>
      <c r="F19" s="8">
        <v>310</v>
      </c>
      <c r="G19" s="8">
        <v>45</v>
      </c>
      <c r="H19" s="8">
        <v>668</v>
      </c>
      <c r="I19" s="8">
        <f>208629+400272</f>
        <v>608901</v>
      </c>
      <c r="J19" s="60">
        <v>37086</v>
      </c>
      <c r="K19" s="58">
        <f t="shared" si="3"/>
        <v>6526.6237433680772</v>
      </c>
      <c r="L19" s="55">
        <f t="shared" si="4"/>
        <v>0.26408342517333644</v>
      </c>
      <c r="M19" s="59">
        <v>0.97</v>
      </c>
      <c r="N19" s="49">
        <v>0</v>
      </c>
      <c r="O19" s="33">
        <f t="shared" si="5"/>
        <v>0</v>
      </c>
      <c r="P19" s="34">
        <f t="shared" si="6"/>
        <v>0</v>
      </c>
      <c r="Q19" s="39">
        <v>0</v>
      </c>
      <c r="R19" s="49">
        <v>0</v>
      </c>
      <c r="S19" s="33">
        <f t="shared" si="7"/>
        <v>0</v>
      </c>
      <c r="T19" s="34">
        <f t="shared" si="8"/>
        <v>0</v>
      </c>
      <c r="U19" s="39">
        <v>0</v>
      </c>
      <c r="V19" s="49">
        <v>0</v>
      </c>
      <c r="W19" s="33">
        <f t="shared" si="9"/>
        <v>0</v>
      </c>
      <c r="X19" s="34">
        <f t="shared" si="10"/>
        <v>0</v>
      </c>
      <c r="Y19" s="40">
        <v>0</v>
      </c>
      <c r="Z19" s="49">
        <v>0</v>
      </c>
      <c r="AA19" s="33">
        <f t="shared" si="11"/>
        <v>0</v>
      </c>
      <c r="AB19" s="34">
        <f t="shared" si="12"/>
        <v>0</v>
      </c>
      <c r="AC19" s="39">
        <v>0</v>
      </c>
      <c r="AD19" s="49">
        <v>0</v>
      </c>
      <c r="AE19" s="33">
        <f t="shared" si="13"/>
        <v>0</v>
      </c>
      <c r="AF19" s="34">
        <f t="shared" si="14"/>
        <v>0</v>
      </c>
      <c r="AG19" s="39">
        <v>0</v>
      </c>
      <c r="AH19" s="49">
        <v>0</v>
      </c>
      <c r="AI19" s="33">
        <f t="shared" si="15"/>
        <v>0</v>
      </c>
      <c r="AJ19" s="34">
        <f t="shared" si="16"/>
        <v>0</v>
      </c>
      <c r="AK19" s="39">
        <v>0</v>
      </c>
      <c r="AL19" s="49">
        <v>0</v>
      </c>
      <c r="AM19" s="33">
        <f t="shared" si="17"/>
        <v>0</v>
      </c>
      <c r="AN19" s="34">
        <f t="shared" si="18"/>
        <v>0</v>
      </c>
      <c r="AO19" s="39">
        <v>0</v>
      </c>
      <c r="AP19" s="49">
        <v>0</v>
      </c>
      <c r="AQ19" s="33">
        <f t="shared" si="19"/>
        <v>0</v>
      </c>
      <c r="AR19" s="34">
        <f t="shared" si="0"/>
        <v>0</v>
      </c>
      <c r="AS19" s="40">
        <v>0</v>
      </c>
      <c r="AT19" s="49">
        <v>0</v>
      </c>
      <c r="AU19" s="33">
        <f t="shared" si="20"/>
        <v>0</v>
      </c>
      <c r="AV19" s="34">
        <f t="shared" si="1"/>
        <v>0</v>
      </c>
      <c r="AW19" s="41">
        <v>0</v>
      </c>
      <c r="AX19" s="49">
        <v>0</v>
      </c>
      <c r="AY19" s="33">
        <f t="shared" si="21"/>
        <v>0</v>
      </c>
      <c r="AZ19" s="34">
        <f t="shared" si="2"/>
        <v>0</v>
      </c>
      <c r="BA19" s="41">
        <v>0</v>
      </c>
    </row>
    <row r="20" spans="2:53" x14ac:dyDescent="0.25">
      <c r="B20" s="87"/>
      <c r="C20" s="92"/>
      <c r="D20" s="19" t="s">
        <v>57</v>
      </c>
      <c r="E20" s="8" t="s">
        <v>34</v>
      </c>
      <c r="F20" s="8">
        <v>290</v>
      </c>
      <c r="G20" s="8">
        <v>64</v>
      </c>
      <c r="H20" s="8">
        <v>957</v>
      </c>
      <c r="I20" s="8">
        <f>107841+172216</f>
        <v>280057</v>
      </c>
      <c r="J20" s="60">
        <v>14507</v>
      </c>
      <c r="K20" s="58">
        <f t="shared" si="3"/>
        <v>5550.8111070788209</v>
      </c>
      <c r="L20" s="55">
        <f t="shared" si="4"/>
        <v>0.2245996195409766</v>
      </c>
      <c r="M20" s="59">
        <v>0.93799999999999994</v>
      </c>
      <c r="N20" s="49">
        <v>0</v>
      </c>
      <c r="O20" s="33">
        <f t="shared" si="5"/>
        <v>0</v>
      </c>
      <c r="P20" s="34">
        <f t="shared" si="6"/>
        <v>0</v>
      </c>
      <c r="Q20" s="39">
        <v>0</v>
      </c>
      <c r="R20" s="49">
        <v>0</v>
      </c>
      <c r="S20" s="33">
        <f t="shared" si="7"/>
        <v>0</v>
      </c>
      <c r="T20" s="34">
        <f t="shared" si="8"/>
        <v>0</v>
      </c>
      <c r="U20" s="39">
        <v>0</v>
      </c>
      <c r="V20" s="49">
        <v>0</v>
      </c>
      <c r="W20" s="33">
        <f t="shared" si="9"/>
        <v>0</v>
      </c>
      <c r="X20" s="34">
        <f t="shared" si="10"/>
        <v>0</v>
      </c>
      <c r="Y20" s="40">
        <v>0</v>
      </c>
      <c r="Z20" s="49">
        <v>0</v>
      </c>
      <c r="AA20" s="33">
        <f t="shared" si="11"/>
        <v>0</v>
      </c>
      <c r="AB20" s="34">
        <f t="shared" si="12"/>
        <v>0</v>
      </c>
      <c r="AC20" s="39">
        <v>0</v>
      </c>
      <c r="AD20" s="49">
        <v>0</v>
      </c>
      <c r="AE20" s="33">
        <f t="shared" si="13"/>
        <v>0</v>
      </c>
      <c r="AF20" s="34">
        <f t="shared" si="14"/>
        <v>0</v>
      </c>
      <c r="AG20" s="39">
        <v>0</v>
      </c>
      <c r="AH20" s="49">
        <v>0</v>
      </c>
      <c r="AI20" s="33">
        <f t="shared" si="15"/>
        <v>0</v>
      </c>
      <c r="AJ20" s="34">
        <f t="shared" si="16"/>
        <v>0</v>
      </c>
      <c r="AK20" s="39">
        <v>0</v>
      </c>
      <c r="AL20" s="49">
        <v>0</v>
      </c>
      <c r="AM20" s="33">
        <f t="shared" si="17"/>
        <v>0</v>
      </c>
      <c r="AN20" s="34">
        <f t="shared" si="18"/>
        <v>0</v>
      </c>
      <c r="AO20" s="39">
        <v>0</v>
      </c>
      <c r="AP20" s="49">
        <v>0</v>
      </c>
      <c r="AQ20" s="33">
        <f t="shared" si="19"/>
        <v>0</v>
      </c>
      <c r="AR20" s="34">
        <f t="shared" si="0"/>
        <v>0</v>
      </c>
      <c r="AS20" s="40">
        <v>0</v>
      </c>
      <c r="AT20" s="49">
        <v>0</v>
      </c>
      <c r="AU20" s="33">
        <f t="shared" si="20"/>
        <v>0</v>
      </c>
      <c r="AV20" s="34">
        <f t="shared" si="1"/>
        <v>0</v>
      </c>
      <c r="AW20" s="41">
        <v>0</v>
      </c>
      <c r="AX20" s="49">
        <v>0</v>
      </c>
      <c r="AY20" s="33">
        <f t="shared" si="21"/>
        <v>0</v>
      </c>
      <c r="AZ20" s="34">
        <f t="shared" si="2"/>
        <v>0</v>
      </c>
      <c r="BA20" s="41">
        <v>0</v>
      </c>
    </row>
    <row r="21" spans="2:53" x14ac:dyDescent="0.25">
      <c r="B21" s="87"/>
      <c r="C21" s="92"/>
      <c r="D21" s="19" t="s">
        <v>58</v>
      </c>
      <c r="E21" s="8" t="s">
        <v>35</v>
      </c>
      <c r="F21" s="8">
        <v>243</v>
      </c>
      <c r="G21" s="8">
        <v>29</v>
      </c>
      <c r="H21" s="8">
        <v>696</v>
      </c>
      <c r="I21" s="8">
        <f>142960+129560</f>
        <v>272520</v>
      </c>
      <c r="J21" s="60">
        <v>10192</v>
      </c>
      <c r="K21" s="58">
        <f t="shared" si="3"/>
        <v>4007.6178713081554</v>
      </c>
      <c r="L21" s="55">
        <f t="shared" si="4"/>
        <v>0.1621581840559376</v>
      </c>
      <c r="M21" s="59">
        <v>0.90200000000000002</v>
      </c>
      <c r="N21" s="84">
        <v>2</v>
      </c>
      <c r="O21" s="81">
        <f t="shared" si="5"/>
        <v>0.97139786970504383</v>
      </c>
      <c r="P21" s="82">
        <f t="shared" si="6"/>
        <v>2.3393592959005042E-3</v>
      </c>
      <c r="Q21" s="83">
        <v>2.3E-2</v>
      </c>
      <c r="R21" s="49">
        <v>0</v>
      </c>
      <c r="S21" s="33">
        <f t="shared" si="7"/>
        <v>0</v>
      </c>
      <c r="T21" s="34">
        <f t="shared" si="8"/>
        <v>0</v>
      </c>
      <c r="U21" s="39">
        <v>0</v>
      </c>
      <c r="V21" s="49">
        <v>0</v>
      </c>
      <c r="W21" s="33">
        <f t="shared" si="9"/>
        <v>0</v>
      </c>
      <c r="X21" s="34">
        <f t="shared" si="10"/>
        <v>0</v>
      </c>
      <c r="Y21" s="40">
        <v>0</v>
      </c>
      <c r="Z21" s="49">
        <v>0</v>
      </c>
      <c r="AA21" s="33">
        <f t="shared" si="11"/>
        <v>0</v>
      </c>
      <c r="AB21" s="34">
        <f t="shared" si="12"/>
        <v>0</v>
      </c>
      <c r="AC21" s="39">
        <v>0</v>
      </c>
      <c r="AD21" s="49">
        <v>0</v>
      </c>
      <c r="AE21" s="33">
        <f t="shared" si="13"/>
        <v>0</v>
      </c>
      <c r="AF21" s="34">
        <f t="shared" si="14"/>
        <v>0</v>
      </c>
      <c r="AG21" s="39">
        <v>0</v>
      </c>
      <c r="AH21" s="49">
        <v>0</v>
      </c>
      <c r="AI21" s="33">
        <f t="shared" si="15"/>
        <v>0</v>
      </c>
      <c r="AJ21" s="34">
        <f t="shared" si="16"/>
        <v>0</v>
      </c>
      <c r="AK21" s="39">
        <v>0</v>
      </c>
      <c r="AL21" s="49">
        <v>0</v>
      </c>
      <c r="AM21" s="33">
        <f t="shared" si="17"/>
        <v>0</v>
      </c>
      <c r="AN21" s="34">
        <f t="shared" si="18"/>
        <v>0</v>
      </c>
      <c r="AO21" s="39">
        <v>0</v>
      </c>
      <c r="AP21" s="49">
        <v>0</v>
      </c>
      <c r="AQ21" s="33">
        <f t="shared" si="19"/>
        <v>0</v>
      </c>
      <c r="AR21" s="34">
        <f t="shared" si="0"/>
        <v>0</v>
      </c>
      <c r="AS21" s="40">
        <v>0</v>
      </c>
      <c r="AT21" s="49">
        <v>0</v>
      </c>
      <c r="AU21" s="33">
        <f t="shared" si="20"/>
        <v>0</v>
      </c>
      <c r="AV21" s="34">
        <f t="shared" si="1"/>
        <v>0</v>
      </c>
      <c r="AW21" s="41">
        <v>0</v>
      </c>
      <c r="AX21" s="49">
        <v>0</v>
      </c>
      <c r="AY21" s="33">
        <f t="shared" si="21"/>
        <v>0</v>
      </c>
      <c r="AZ21" s="34">
        <f t="shared" si="2"/>
        <v>0</v>
      </c>
      <c r="BA21" s="41">
        <v>0</v>
      </c>
    </row>
    <row r="22" spans="2:53" x14ac:dyDescent="0.25">
      <c r="B22" s="87"/>
      <c r="C22" s="92" t="s">
        <v>68</v>
      </c>
      <c r="D22" s="19" t="s">
        <v>59</v>
      </c>
      <c r="E22" s="8" t="s">
        <v>36</v>
      </c>
      <c r="F22" s="8">
        <v>108</v>
      </c>
      <c r="G22" s="8">
        <v>59</v>
      </c>
      <c r="H22" s="8">
        <v>1692</v>
      </c>
      <c r="I22" s="8">
        <f>184983+129234</f>
        <v>314217</v>
      </c>
      <c r="J22" s="80">
        <v>48</v>
      </c>
      <c r="K22" s="81">
        <f t="shared" si="3"/>
        <v>16.36955333959002</v>
      </c>
      <c r="L22" s="82">
        <f t="shared" si="4"/>
        <v>6.6235283118154823E-4</v>
      </c>
      <c r="M22" s="83">
        <v>0.3</v>
      </c>
      <c r="N22" s="49">
        <v>0</v>
      </c>
      <c r="O22" s="33">
        <f t="shared" si="5"/>
        <v>0</v>
      </c>
      <c r="P22" s="34">
        <f t="shared" si="6"/>
        <v>0</v>
      </c>
      <c r="Q22" s="39">
        <v>0</v>
      </c>
      <c r="R22" s="49">
        <v>0</v>
      </c>
      <c r="S22" s="33">
        <f t="shared" si="7"/>
        <v>0</v>
      </c>
      <c r="T22" s="34">
        <f t="shared" si="8"/>
        <v>0</v>
      </c>
      <c r="U22" s="39">
        <v>0</v>
      </c>
      <c r="V22" s="49">
        <v>0</v>
      </c>
      <c r="W22" s="33">
        <f t="shared" si="9"/>
        <v>0</v>
      </c>
      <c r="X22" s="34">
        <f t="shared" si="10"/>
        <v>0</v>
      </c>
      <c r="Y22" s="40">
        <v>0</v>
      </c>
      <c r="Z22" s="49">
        <v>0</v>
      </c>
      <c r="AA22" s="33">
        <f t="shared" si="11"/>
        <v>0</v>
      </c>
      <c r="AB22" s="34">
        <f t="shared" si="12"/>
        <v>0</v>
      </c>
      <c r="AC22" s="39">
        <v>0</v>
      </c>
      <c r="AD22" s="49">
        <v>0</v>
      </c>
      <c r="AE22" s="33">
        <f t="shared" si="13"/>
        <v>0</v>
      </c>
      <c r="AF22" s="34">
        <f t="shared" si="14"/>
        <v>0</v>
      </c>
      <c r="AG22" s="39">
        <v>0</v>
      </c>
      <c r="AH22" s="49">
        <v>0</v>
      </c>
      <c r="AI22" s="33">
        <f t="shared" si="15"/>
        <v>0</v>
      </c>
      <c r="AJ22" s="34">
        <f t="shared" si="16"/>
        <v>0</v>
      </c>
      <c r="AK22" s="39">
        <v>0</v>
      </c>
      <c r="AL22" s="84">
        <v>7</v>
      </c>
      <c r="AM22" s="81">
        <f t="shared" si="17"/>
        <v>1.299591527577707</v>
      </c>
      <c r="AN22" s="82">
        <f t="shared" si="18"/>
        <v>2.3396433335642582E-4</v>
      </c>
      <c r="AO22" s="83">
        <v>2.1999999999999999E-2</v>
      </c>
      <c r="AP22" s="49">
        <v>0</v>
      </c>
      <c r="AQ22" s="33">
        <f t="shared" si="19"/>
        <v>0</v>
      </c>
      <c r="AR22" s="34">
        <f t="shared" si="0"/>
        <v>0</v>
      </c>
      <c r="AS22" s="40">
        <v>0</v>
      </c>
      <c r="AT22" s="49">
        <v>0</v>
      </c>
      <c r="AU22" s="33">
        <f t="shared" si="20"/>
        <v>0</v>
      </c>
      <c r="AV22" s="34">
        <f t="shared" si="1"/>
        <v>0</v>
      </c>
      <c r="AW22" s="41">
        <v>0</v>
      </c>
      <c r="AX22" s="49">
        <v>0</v>
      </c>
      <c r="AY22" s="33">
        <f t="shared" si="21"/>
        <v>0</v>
      </c>
      <c r="AZ22" s="34">
        <f t="shared" si="2"/>
        <v>0</v>
      </c>
      <c r="BA22" s="41">
        <v>0</v>
      </c>
    </row>
    <row r="23" spans="2:53" x14ac:dyDescent="0.25">
      <c r="B23" s="87"/>
      <c r="C23" s="92"/>
      <c r="D23" s="19" t="s">
        <v>60</v>
      </c>
      <c r="E23" s="8" t="s">
        <v>37</v>
      </c>
      <c r="F23" s="8">
        <v>49</v>
      </c>
      <c r="G23" s="8">
        <v>1</v>
      </c>
      <c r="H23" s="8">
        <v>503</v>
      </c>
      <c r="I23" s="8">
        <f>149202+113262</f>
        <v>262464</v>
      </c>
      <c r="J23" s="80">
        <v>56</v>
      </c>
      <c r="K23" s="81">
        <f t="shared" si="3"/>
        <v>22.863544201580478</v>
      </c>
      <c r="L23" s="82">
        <f t="shared" si="4"/>
        <v>9.2511584883235305E-4</v>
      </c>
      <c r="M23" s="83">
        <v>0.26700000000000002</v>
      </c>
      <c r="N23" s="84">
        <v>2</v>
      </c>
      <c r="O23" s="81">
        <f t="shared" si="5"/>
        <v>1.0086158385607877</v>
      </c>
      <c r="P23" s="82">
        <f t="shared" si="6"/>
        <v>2.4289891006721133E-3</v>
      </c>
      <c r="Q23" s="83">
        <v>2.1000000000000001E-2</v>
      </c>
      <c r="R23" s="49">
        <v>0</v>
      </c>
      <c r="S23" s="33">
        <f t="shared" si="7"/>
        <v>0</v>
      </c>
      <c r="T23" s="34">
        <f t="shared" si="8"/>
        <v>0</v>
      </c>
      <c r="U23" s="39">
        <v>0</v>
      </c>
      <c r="V23" s="49">
        <v>0</v>
      </c>
      <c r="W23" s="33">
        <f t="shared" si="9"/>
        <v>0</v>
      </c>
      <c r="X23" s="34">
        <f t="shared" si="10"/>
        <v>0</v>
      </c>
      <c r="Y23" s="40">
        <v>0</v>
      </c>
      <c r="Z23" s="49">
        <v>0</v>
      </c>
      <c r="AA23" s="33">
        <f t="shared" si="11"/>
        <v>0</v>
      </c>
      <c r="AB23" s="34">
        <f t="shared" si="12"/>
        <v>0</v>
      </c>
      <c r="AC23" s="39">
        <v>0</v>
      </c>
      <c r="AD23" s="49">
        <v>0</v>
      </c>
      <c r="AE23" s="33">
        <f t="shared" si="13"/>
        <v>0</v>
      </c>
      <c r="AF23" s="34">
        <f t="shared" si="14"/>
        <v>0</v>
      </c>
      <c r="AG23" s="39">
        <v>0</v>
      </c>
      <c r="AH23" s="49">
        <v>0</v>
      </c>
      <c r="AI23" s="33">
        <f t="shared" si="15"/>
        <v>0</v>
      </c>
      <c r="AJ23" s="34">
        <f t="shared" si="16"/>
        <v>0</v>
      </c>
      <c r="AK23" s="39">
        <v>0</v>
      </c>
      <c r="AL23" s="49">
        <v>0</v>
      </c>
      <c r="AM23" s="33">
        <f t="shared" si="17"/>
        <v>0</v>
      </c>
      <c r="AN23" s="34">
        <f t="shared" si="18"/>
        <v>0</v>
      </c>
      <c r="AO23" s="39">
        <v>0</v>
      </c>
      <c r="AP23" s="49">
        <v>0</v>
      </c>
      <c r="AQ23" s="33">
        <f t="shared" si="19"/>
        <v>0</v>
      </c>
      <c r="AR23" s="34">
        <f t="shared" si="0"/>
        <v>0</v>
      </c>
      <c r="AS23" s="40">
        <v>0</v>
      </c>
      <c r="AT23" s="49">
        <v>0</v>
      </c>
      <c r="AU23" s="33">
        <f t="shared" si="20"/>
        <v>0</v>
      </c>
      <c r="AV23" s="34">
        <f t="shared" si="1"/>
        <v>0</v>
      </c>
      <c r="AW23" s="41">
        <v>0</v>
      </c>
      <c r="AX23" s="49">
        <v>0</v>
      </c>
      <c r="AY23" s="33">
        <f t="shared" si="21"/>
        <v>0</v>
      </c>
      <c r="AZ23" s="34">
        <f t="shared" si="2"/>
        <v>0</v>
      </c>
      <c r="BA23" s="41">
        <v>0</v>
      </c>
    </row>
    <row r="24" spans="2:53" x14ac:dyDescent="0.25">
      <c r="B24" s="87"/>
      <c r="C24" s="92" t="s">
        <v>69</v>
      </c>
      <c r="D24" s="19" t="s">
        <v>61</v>
      </c>
      <c r="E24" s="8" t="s">
        <v>38</v>
      </c>
      <c r="F24" s="8">
        <v>70</v>
      </c>
      <c r="G24" s="8">
        <v>28</v>
      </c>
      <c r="H24" s="8">
        <v>1446</v>
      </c>
      <c r="I24" s="8">
        <f>82685+51604</f>
        <v>134289</v>
      </c>
      <c r="J24" s="80">
        <v>3</v>
      </c>
      <c r="K24" s="81">
        <f t="shared" si="3"/>
        <v>2.3939004412619229</v>
      </c>
      <c r="L24" s="82">
        <f t="shared" si="4"/>
        <v>9.6863164311379089E-5</v>
      </c>
      <c r="M24" s="83">
        <v>3.2000000000000001E-2</v>
      </c>
      <c r="N24" s="84">
        <v>1</v>
      </c>
      <c r="O24" s="81">
        <f t="shared" si="5"/>
        <v>0.98565536809425403</v>
      </c>
      <c r="P24" s="82">
        <f t="shared" si="6"/>
        <v>2.3736947751446711E-3</v>
      </c>
      <c r="Q24" s="83">
        <v>1.7000000000000001E-2</v>
      </c>
      <c r="R24" s="49">
        <v>0</v>
      </c>
      <c r="S24" s="33">
        <f t="shared" si="7"/>
        <v>0</v>
      </c>
      <c r="T24" s="34">
        <f t="shared" si="8"/>
        <v>0</v>
      </c>
      <c r="U24" s="39">
        <v>0</v>
      </c>
      <c r="V24" s="49">
        <v>0</v>
      </c>
      <c r="W24" s="33">
        <f t="shared" si="9"/>
        <v>0</v>
      </c>
      <c r="X24" s="34">
        <f t="shared" si="10"/>
        <v>0</v>
      </c>
      <c r="Y24" s="40">
        <v>0</v>
      </c>
      <c r="Z24" s="49">
        <v>0</v>
      </c>
      <c r="AA24" s="33">
        <f t="shared" si="11"/>
        <v>0</v>
      </c>
      <c r="AB24" s="34">
        <f t="shared" si="12"/>
        <v>0</v>
      </c>
      <c r="AC24" s="39">
        <v>0</v>
      </c>
      <c r="AD24" s="49">
        <v>0</v>
      </c>
      <c r="AE24" s="33">
        <f t="shared" si="13"/>
        <v>0</v>
      </c>
      <c r="AF24" s="34">
        <f t="shared" si="14"/>
        <v>0</v>
      </c>
      <c r="AG24" s="39">
        <v>0</v>
      </c>
      <c r="AH24" s="49">
        <v>0</v>
      </c>
      <c r="AI24" s="33">
        <f t="shared" si="15"/>
        <v>0</v>
      </c>
      <c r="AJ24" s="34">
        <f t="shared" si="16"/>
        <v>0</v>
      </c>
      <c r="AK24" s="39">
        <v>0</v>
      </c>
      <c r="AL24" s="84">
        <v>23</v>
      </c>
      <c r="AM24" s="81">
        <f t="shared" si="17"/>
        <v>9.991389863312218</v>
      </c>
      <c r="AN24" s="82">
        <f t="shared" si="18"/>
        <v>1.7987412345101018E-3</v>
      </c>
      <c r="AO24" s="83">
        <v>0.11700000000000001</v>
      </c>
      <c r="AP24" s="65">
        <v>5</v>
      </c>
      <c r="AQ24" s="66">
        <f t="shared" si="19"/>
        <v>2.6459018994997474</v>
      </c>
      <c r="AR24" s="67">
        <f t="shared" si="0"/>
        <v>4.9684716841346278E-3</v>
      </c>
      <c r="AS24" s="74">
        <v>2.1000000000000001E-2</v>
      </c>
      <c r="AT24" s="49">
        <v>0</v>
      </c>
      <c r="AU24" s="33">
        <f t="shared" si="20"/>
        <v>0</v>
      </c>
      <c r="AV24" s="34">
        <f t="shared" si="1"/>
        <v>0</v>
      </c>
      <c r="AW24" s="41">
        <v>0</v>
      </c>
      <c r="AX24" s="49">
        <v>0</v>
      </c>
      <c r="AY24" s="33">
        <f t="shared" si="21"/>
        <v>0</v>
      </c>
      <c r="AZ24" s="34">
        <f t="shared" si="2"/>
        <v>0</v>
      </c>
      <c r="BA24" s="41">
        <v>0</v>
      </c>
    </row>
    <row r="25" spans="2:53" ht="16.5" thickBot="1" x14ac:dyDescent="0.3">
      <c r="B25" s="87"/>
      <c r="C25" s="94"/>
      <c r="D25" s="24" t="s">
        <v>62</v>
      </c>
      <c r="E25" s="8" t="s">
        <v>39</v>
      </c>
      <c r="F25" s="8">
        <v>66</v>
      </c>
      <c r="G25" s="8">
        <v>9</v>
      </c>
      <c r="H25" s="8">
        <v>625</v>
      </c>
      <c r="I25" s="8">
        <f>40972+133346</f>
        <v>174318</v>
      </c>
      <c r="J25" s="80">
        <v>6</v>
      </c>
      <c r="K25" s="81">
        <f t="shared" si="3"/>
        <v>3.6883683424158415</v>
      </c>
      <c r="L25" s="82">
        <f t="shared" si="4"/>
        <v>1.4924055429973708E-4</v>
      </c>
      <c r="M25" s="83">
        <v>6.8000000000000005E-2</v>
      </c>
      <c r="N25" s="84">
        <v>1</v>
      </c>
      <c r="O25" s="81">
        <f t="shared" si="5"/>
        <v>0.75931730358315996</v>
      </c>
      <c r="P25" s="82">
        <f t="shared" si="6"/>
        <v>1.8286183736585019E-3</v>
      </c>
      <c r="Q25" s="83">
        <v>1.7000000000000001E-2</v>
      </c>
      <c r="R25" s="49">
        <v>0</v>
      </c>
      <c r="S25" s="33">
        <f t="shared" si="7"/>
        <v>0</v>
      </c>
      <c r="T25" s="34">
        <f t="shared" si="8"/>
        <v>0</v>
      </c>
      <c r="U25" s="39">
        <v>0</v>
      </c>
      <c r="V25" s="49">
        <v>0</v>
      </c>
      <c r="W25" s="33">
        <f t="shared" si="9"/>
        <v>0</v>
      </c>
      <c r="X25" s="34">
        <f t="shared" si="10"/>
        <v>0</v>
      </c>
      <c r="Y25" s="40">
        <v>0</v>
      </c>
      <c r="Z25" s="49">
        <v>0</v>
      </c>
      <c r="AA25" s="33">
        <f t="shared" si="11"/>
        <v>0</v>
      </c>
      <c r="AB25" s="34">
        <f t="shared" si="12"/>
        <v>0</v>
      </c>
      <c r="AC25" s="39">
        <v>0</v>
      </c>
      <c r="AD25" s="49">
        <v>0</v>
      </c>
      <c r="AE25" s="33">
        <f t="shared" si="13"/>
        <v>0</v>
      </c>
      <c r="AF25" s="34">
        <f t="shared" si="14"/>
        <v>0</v>
      </c>
      <c r="AG25" s="39">
        <v>0</v>
      </c>
      <c r="AH25" s="49">
        <v>0</v>
      </c>
      <c r="AI25" s="33">
        <f t="shared" si="15"/>
        <v>0</v>
      </c>
      <c r="AJ25" s="34">
        <f t="shared" si="16"/>
        <v>0</v>
      </c>
      <c r="AK25" s="39">
        <v>0</v>
      </c>
      <c r="AL25" s="62">
        <v>13557</v>
      </c>
      <c r="AM25" s="58">
        <f t="shared" si="17"/>
        <v>4536.9069357562694</v>
      </c>
      <c r="AN25" s="55">
        <f t="shared" si="18"/>
        <v>0.81677541304291945</v>
      </c>
      <c r="AO25" s="59">
        <v>0.34499999999999997</v>
      </c>
      <c r="AP25" s="65">
        <v>739</v>
      </c>
      <c r="AQ25" s="66">
        <f t="shared" si="19"/>
        <v>301.2634029927375</v>
      </c>
      <c r="AR25" s="67">
        <f t="shared" si="0"/>
        <v>0.56571208763199221</v>
      </c>
      <c r="AS25" s="74">
        <v>2.1999999999999999E-2</v>
      </c>
      <c r="AT25" s="49">
        <v>0</v>
      </c>
      <c r="AU25" s="33">
        <f t="shared" si="20"/>
        <v>0</v>
      </c>
      <c r="AV25" s="34">
        <f t="shared" si="1"/>
        <v>0</v>
      </c>
      <c r="AW25" s="41">
        <v>0</v>
      </c>
      <c r="AX25" s="49">
        <v>0</v>
      </c>
      <c r="AY25" s="33">
        <f t="shared" si="21"/>
        <v>0</v>
      </c>
      <c r="AZ25" s="34">
        <f t="shared" si="2"/>
        <v>0</v>
      </c>
      <c r="BA25" s="41">
        <v>0</v>
      </c>
    </row>
    <row r="26" spans="2:53" ht="16.5" thickBot="1" x14ac:dyDescent="0.3">
      <c r="B26" s="87"/>
      <c r="C26" s="99" t="s">
        <v>83</v>
      </c>
      <c r="D26" s="100"/>
      <c r="E26" s="8" t="s">
        <v>70</v>
      </c>
      <c r="F26" s="8">
        <v>29</v>
      </c>
      <c r="G26" s="8">
        <v>6</v>
      </c>
      <c r="H26" s="8">
        <v>871</v>
      </c>
      <c r="I26" s="8">
        <f>4764+81840</f>
        <v>86604</v>
      </c>
      <c r="J26" s="46">
        <v>0</v>
      </c>
      <c r="K26" s="33">
        <f t="shared" si="3"/>
        <v>0</v>
      </c>
      <c r="L26" s="34">
        <f t="shared" si="4"/>
        <v>0</v>
      </c>
      <c r="M26" s="39">
        <v>0</v>
      </c>
      <c r="N26" s="65">
        <v>1</v>
      </c>
      <c r="O26" s="66">
        <f t="shared" si="5"/>
        <v>1.5283667466399851</v>
      </c>
      <c r="P26" s="67">
        <f t="shared" si="6"/>
        <v>3.680674075786369E-3</v>
      </c>
      <c r="Q26" s="68">
        <v>1.7000000000000001E-2</v>
      </c>
      <c r="R26" s="49">
        <v>0</v>
      </c>
      <c r="S26" s="33">
        <f t="shared" si="7"/>
        <v>0</v>
      </c>
      <c r="T26" s="34">
        <f t="shared" si="8"/>
        <v>0</v>
      </c>
      <c r="U26" s="39">
        <v>0</v>
      </c>
      <c r="V26" s="49">
        <v>0</v>
      </c>
      <c r="W26" s="33">
        <f t="shared" si="9"/>
        <v>0</v>
      </c>
      <c r="X26" s="34">
        <f t="shared" si="10"/>
        <v>0</v>
      </c>
      <c r="Y26" s="40">
        <v>0</v>
      </c>
      <c r="Z26" s="49">
        <v>0</v>
      </c>
      <c r="AA26" s="33">
        <f t="shared" si="11"/>
        <v>0</v>
      </c>
      <c r="AB26" s="34">
        <f t="shared" si="12"/>
        <v>0</v>
      </c>
      <c r="AC26" s="39">
        <v>0</v>
      </c>
      <c r="AD26" s="49">
        <v>0</v>
      </c>
      <c r="AE26" s="33">
        <f t="shared" si="13"/>
        <v>0</v>
      </c>
      <c r="AF26" s="34">
        <f t="shared" si="14"/>
        <v>0</v>
      </c>
      <c r="AG26" s="39">
        <v>0</v>
      </c>
      <c r="AH26" s="49">
        <v>0</v>
      </c>
      <c r="AI26" s="33">
        <f t="shared" si="15"/>
        <v>0</v>
      </c>
      <c r="AJ26" s="34">
        <f t="shared" si="16"/>
        <v>0</v>
      </c>
      <c r="AK26" s="39">
        <v>0</v>
      </c>
      <c r="AL26" s="49">
        <v>0</v>
      </c>
      <c r="AM26" s="33">
        <f t="shared" si="17"/>
        <v>0</v>
      </c>
      <c r="AN26" s="34">
        <f t="shared" si="18"/>
        <v>0</v>
      </c>
      <c r="AO26" s="39">
        <v>0</v>
      </c>
      <c r="AP26" s="69">
        <v>649</v>
      </c>
      <c r="AQ26" s="70">
        <f t="shared" si="19"/>
        <v>532.53838759888015</v>
      </c>
      <c r="AR26" s="71">
        <f t="shared" si="0"/>
        <v>1</v>
      </c>
      <c r="AS26" s="72">
        <v>0.13200000000000001</v>
      </c>
      <c r="AT26" s="69">
        <v>45410</v>
      </c>
      <c r="AU26" s="70">
        <f t="shared" si="20"/>
        <v>35387.776007625267</v>
      </c>
      <c r="AV26" s="71">
        <f t="shared" si="1"/>
        <v>1</v>
      </c>
      <c r="AW26" s="73">
        <v>0.60699999999999998</v>
      </c>
      <c r="AX26" s="69">
        <v>12054</v>
      </c>
      <c r="AY26" s="70">
        <f t="shared" si="21"/>
        <v>9153.9136489317843</v>
      </c>
      <c r="AZ26" s="71">
        <f t="shared" si="2"/>
        <v>1</v>
      </c>
      <c r="BA26" s="73">
        <v>0.17199999999999999</v>
      </c>
    </row>
    <row r="27" spans="2:53" s="2" customFormat="1" x14ac:dyDescent="0.25">
      <c r="B27" s="85" t="s">
        <v>40</v>
      </c>
      <c r="C27" s="95" t="s">
        <v>41</v>
      </c>
      <c r="D27" s="96"/>
      <c r="E27" s="23" t="s">
        <v>42</v>
      </c>
      <c r="F27" s="15">
        <v>17051</v>
      </c>
      <c r="G27" s="15">
        <v>6873</v>
      </c>
      <c r="H27" s="15">
        <v>1283</v>
      </c>
      <c r="I27" s="15">
        <f>3633894+1132007</f>
        <v>4765901</v>
      </c>
      <c r="J27" s="47">
        <v>1901</v>
      </c>
      <c r="K27" s="32">
        <f t="shared" si="3"/>
        <v>42.742741094421881</v>
      </c>
      <c r="L27" s="27" t="s">
        <v>84</v>
      </c>
      <c r="M27" s="43">
        <v>0.99399999999999999</v>
      </c>
      <c r="N27" s="25">
        <v>534</v>
      </c>
      <c r="O27" s="32">
        <f t="shared" si="5"/>
        <v>14.830704156399586</v>
      </c>
      <c r="P27" s="27" t="s">
        <v>84</v>
      </c>
      <c r="Q27" s="43">
        <v>0.86399999999999999</v>
      </c>
      <c r="R27" s="25">
        <v>0</v>
      </c>
      <c r="S27" s="32">
        <f t="shared" si="7"/>
        <v>0</v>
      </c>
      <c r="T27" s="27" t="s">
        <v>84</v>
      </c>
      <c r="U27" s="43">
        <v>0</v>
      </c>
      <c r="V27" s="25">
        <v>13</v>
      </c>
      <c r="W27" s="32">
        <f t="shared" si="9"/>
        <v>1.6984501106813694</v>
      </c>
      <c r="X27" s="27" t="s">
        <v>84</v>
      </c>
      <c r="Y27" s="35">
        <v>0.64200000000000002</v>
      </c>
      <c r="Z27" s="25">
        <v>32</v>
      </c>
      <c r="AA27" s="32">
        <f t="shared" si="11"/>
        <v>4.9699224556247197</v>
      </c>
      <c r="AB27" s="27" t="s">
        <v>84</v>
      </c>
      <c r="AC27" s="43">
        <v>0.86099999999999999</v>
      </c>
      <c r="AD27" s="25">
        <v>206</v>
      </c>
      <c r="AE27" s="32">
        <f t="shared" si="13"/>
        <v>6.4871268522770009</v>
      </c>
      <c r="AF27" s="27" t="s">
        <v>84</v>
      </c>
      <c r="AG27" s="43">
        <v>0.99399999999999999</v>
      </c>
      <c r="AH27" s="25">
        <v>679</v>
      </c>
      <c r="AI27" s="29">
        <f t="shared" si="15"/>
        <v>52.206096513097386</v>
      </c>
      <c r="AJ27" s="27" t="s">
        <v>84</v>
      </c>
      <c r="AK27" s="17">
        <v>0.997</v>
      </c>
      <c r="AL27" s="25">
        <v>1228</v>
      </c>
      <c r="AM27" s="29">
        <f t="shared" si="17"/>
        <v>15.031137906366979</v>
      </c>
      <c r="AN27" s="27" t="s">
        <v>84</v>
      </c>
      <c r="AO27" s="17">
        <v>1</v>
      </c>
      <c r="AP27" s="25" t="s">
        <v>84</v>
      </c>
      <c r="AQ27" s="29" t="s">
        <v>84</v>
      </c>
      <c r="AR27" s="27" t="s">
        <v>84</v>
      </c>
      <c r="AS27" s="17" t="s">
        <v>84</v>
      </c>
      <c r="AT27" s="25" t="s">
        <v>84</v>
      </c>
      <c r="AU27" s="29" t="s">
        <v>84</v>
      </c>
      <c r="AV27" s="27" t="s">
        <v>84</v>
      </c>
      <c r="AW27" s="17" t="s">
        <v>84</v>
      </c>
      <c r="AX27" s="25" t="s">
        <v>84</v>
      </c>
      <c r="AY27" s="29" t="s">
        <v>84</v>
      </c>
      <c r="AZ27" s="27" t="s">
        <v>84</v>
      </c>
      <c r="BA27" s="52" t="s">
        <v>84</v>
      </c>
    </row>
    <row r="28" spans="2:53" s="2" customFormat="1" ht="16.5" thickBot="1" x14ac:dyDescent="0.3">
      <c r="B28" s="86"/>
      <c r="C28" s="97" t="s">
        <v>43</v>
      </c>
      <c r="D28" s="98"/>
      <c r="E28" s="21" t="s">
        <v>44</v>
      </c>
      <c r="F28" s="16">
        <v>19415</v>
      </c>
      <c r="G28" s="16">
        <v>8414</v>
      </c>
      <c r="H28" s="16">
        <v>1360</v>
      </c>
      <c r="I28" s="16">
        <f>3005490+1042090</f>
        <v>4047580</v>
      </c>
      <c r="J28" s="48">
        <v>4</v>
      </c>
      <c r="K28" s="36">
        <f t="shared" si="3"/>
        <v>0.10589850276185518</v>
      </c>
      <c r="L28" s="28" t="s">
        <v>84</v>
      </c>
      <c r="M28" s="44">
        <v>6.5000000000000002E-2</v>
      </c>
      <c r="N28" s="26">
        <v>38</v>
      </c>
      <c r="O28" s="36">
        <f t="shared" si="5"/>
        <v>1.2426639131501669</v>
      </c>
      <c r="P28" s="28" t="s">
        <v>84</v>
      </c>
      <c r="Q28" s="44">
        <v>0.36299999999999999</v>
      </c>
      <c r="R28" s="26">
        <v>1</v>
      </c>
      <c r="S28" s="36">
        <f t="shared" si="7"/>
        <v>3.4266464208517082E-2</v>
      </c>
      <c r="T28" s="28" t="s">
        <v>84</v>
      </c>
      <c r="U28" s="44">
        <v>2.1000000000000001E-2</v>
      </c>
      <c r="V28" s="26">
        <v>20</v>
      </c>
      <c r="W28" s="36">
        <f t="shared" si="9"/>
        <v>3.0767273591956181</v>
      </c>
      <c r="X28" s="28" t="s">
        <v>84</v>
      </c>
      <c r="Y28" s="45">
        <v>0.79800000000000004</v>
      </c>
      <c r="Z28" s="26">
        <v>5</v>
      </c>
      <c r="AA28" s="36">
        <f t="shared" si="11"/>
        <v>0.91436420038270971</v>
      </c>
      <c r="AB28" s="28" t="s">
        <v>84</v>
      </c>
      <c r="AC28" s="44">
        <v>0.374</v>
      </c>
      <c r="AD28" s="26">
        <v>0</v>
      </c>
      <c r="AE28" s="36">
        <f t="shared" si="13"/>
        <v>0</v>
      </c>
      <c r="AF28" s="28" t="s">
        <v>84</v>
      </c>
      <c r="AG28" s="44">
        <v>0</v>
      </c>
      <c r="AH28" s="26">
        <v>0</v>
      </c>
      <c r="AI28" s="30">
        <f t="shared" si="15"/>
        <v>0</v>
      </c>
      <c r="AJ28" s="28" t="s">
        <v>84</v>
      </c>
      <c r="AK28" s="18">
        <v>0</v>
      </c>
      <c r="AL28" s="26">
        <v>3526</v>
      </c>
      <c r="AM28" s="30">
        <f t="shared" si="17"/>
        <v>50.818913527153036</v>
      </c>
      <c r="AN28" s="28" t="s">
        <v>84</v>
      </c>
      <c r="AO28" s="18">
        <v>0.996</v>
      </c>
      <c r="AP28" s="26" t="s">
        <v>84</v>
      </c>
      <c r="AQ28" s="30" t="s">
        <v>84</v>
      </c>
      <c r="AR28" s="28" t="s">
        <v>84</v>
      </c>
      <c r="AS28" s="18" t="s">
        <v>84</v>
      </c>
      <c r="AT28" s="26" t="s">
        <v>84</v>
      </c>
      <c r="AU28" s="30" t="s">
        <v>84</v>
      </c>
      <c r="AV28" s="28" t="s">
        <v>84</v>
      </c>
      <c r="AW28" s="18" t="s">
        <v>84</v>
      </c>
      <c r="AX28" s="26" t="s">
        <v>84</v>
      </c>
      <c r="AY28" s="30" t="s">
        <v>84</v>
      </c>
      <c r="AZ28" s="28" t="s">
        <v>84</v>
      </c>
      <c r="BA28" s="18" t="s">
        <v>84</v>
      </c>
    </row>
    <row r="32" spans="2:53" x14ac:dyDescent="0.25">
      <c r="F32" s="2"/>
      <c r="G32" s="2"/>
      <c r="H32" s="2"/>
    </row>
    <row r="33" spans="6:8" x14ac:dyDescent="0.25">
      <c r="F33" s="4"/>
      <c r="G33" s="4"/>
      <c r="H33" s="4"/>
    </row>
    <row r="34" spans="6:8" x14ac:dyDescent="0.25">
      <c r="F34" s="4"/>
      <c r="G34" s="4"/>
      <c r="H34" s="4"/>
    </row>
    <row r="35" spans="6:8" x14ac:dyDescent="0.25">
      <c r="F35" s="4"/>
      <c r="G35" s="4"/>
      <c r="H35" s="4"/>
    </row>
    <row r="36" spans="6:8" x14ac:dyDescent="0.25">
      <c r="F36" s="4"/>
      <c r="G36" s="4"/>
      <c r="H36" s="4"/>
    </row>
    <row r="37" spans="6:8" x14ac:dyDescent="0.25">
      <c r="F37" s="4"/>
      <c r="G37" s="4"/>
      <c r="H37" s="4"/>
    </row>
    <row r="38" spans="6:8" x14ac:dyDescent="0.25">
      <c r="F38" s="4"/>
      <c r="G38" s="4"/>
      <c r="H38" s="4"/>
    </row>
    <row r="39" spans="6:8" x14ac:dyDescent="0.25">
      <c r="F39" s="2"/>
      <c r="G39" s="2"/>
      <c r="H39" s="2"/>
    </row>
    <row r="40" spans="6:8" x14ac:dyDescent="0.25">
      <c r="F40" s="4"/>
      <c r="G40" s="4"/>
      <c r="H40" s="4"/>
    </row>
    <row r="41" spans="6:8" x14ac:dyDescent="0.25">
      <c r="F41" s="4"/>
      <c r="G41" s="4"/>
      <c r="H41" s="4"/>
    </row>
    <row r="42" spans="6:8" x14ac:dyDescent="0.25">
      <c r="F42" s="4"/>
      <c r="G42" s="4"/>
      <c r="H42" s="4"/>
    </row>
    <row r="43" spans="6:8" x14ac:dyDescent="0.25">
      <c r="F43" s="2"/>
      <c r="G43" s="2"/>
      <c r="H43" s="2"/>
    </row>
    <row r="44" spans="6:8" x14ac:dyDescent="0.25">
      <c r="F44" s="2"/>
      <c r="G44" s="2"/>
      <c r="H44" s="2"/>
    </row>
    <row r="45" spans="6:8" x14ac:dyDescent="0.25">
      <c r="F45" s="2"/>
      <c r="G45" s="2"/>
      <c r="H45" s="2"/>
    </row>
    <row r="46" spans="6:8" x14ac:dyDescent="0.25">
      <c r="F46" s="2"/>
      <c r="G46" s="2"/>
      <c r="H46" s="2"/>
    </row>
    <row r="47" spans="6:8" x14ac:dyDescent="0.25">
      <c r="F47" s="2"/>
      <c r="G47" s="2"/>
      <c r="H47" s="2"/>
    </row>
    <row r="48" spans="6:8" x14ac:dyDescent="0.25">
      <c r="F48" s="2"/>
      <c r="G48" s="2"/>
      <c r="H48" s="2"/>
    </row>
    <row r="49" spans="6:8" x14ac:dyDescent="0.25">
      <c r="F49" s="2"/>
      <c r="G49" s="2"/>
      <c r="H49" s="2"/>
    </row>
    <row r="50" spans="6:8" x14ac:dyDescent="0.25">
      <c r="F50" s="2"/>
      <c r="G50" s="2"/>
      <c r="H50" s="2"/>
    </row>
    <row r="51" spans="6:8" x14ac:dyDescent="0.25">
      <c r="F51" s="2"/>
      <c r="G51" s="2"/>
      <c r="H51" s="2"/>
    </row>
    <row r="52" spans="6:8" x14ac:dyDescent="0.25">
      <c r="F52" s="2"/>
      <c r="G52" s="2"/>
      <c r="H52" s="2"/>
    </row>
    <row r="53" spans="6:8" x14ac:dyDescent="0.25">
      <c r="F53" s="2"/>
      <c r="G53" s="2"/>
      <c r="H53" s="2"/>
    </row>
  </sheetData>
  <mergeCells count="26">
    <mergeCell ref="AP6:AS7"/>
    <mergeCell ref="AT6:AW7"/>
    <mergeCell ref="AX6:BA7"/>
    <mergeCell ref="R6:AC6"/>
    <mergeCell ref="B2:BA4"/>
    <mergeCell ref="AD6:AK6"/>
    <mergeCell ref="AD7:AG7"/>
    <mergeCell ref="AH7:AK7"/>
    <mergeCell ref="AL6:AO7"/>
    <mergeCell ref="R7:U7"/>
    <mergeCell ref="V7:Y7"/>
    <mergeCell ref="Z7:AC7"/>
    <mergeCell ref="B27:B28"/>
    <mergeCell ref="B9:B26"/>
    <mergeCell ref="J6:M7"/>
    <mergeCell ref="N6:Q7"/>
    <mergeCell ref="C19:C21"/>
    <mergeCell ref="C22:C23"/>
    <mergeCell ref="C9:C11"/>
    <mergeCell ref="C12:C14"/>
    <mergeCell ref="C15:C16"/>
    <mergeCell ref="C17:C18"/>
    <mergeCell ref="C24:C25"/>
    <mergeCell ref="C27:D27"/>
    <mergeCell ref="C28:D28"/>
    <mergeCell ref="C26:D26"/>
  </mergeCells>
  <pageMargins left="0.25" right="0.25" top="0.75" bottom="0.75" header="0.3" footer="0.3"/>
  <pageSetup paperSize="9" scale="57" fitToWidth="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ST-2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Fontdevila Pareta</dc:creator>
  <cp:keywords/>
  <dc:description/>
  <cp:lastModifiedBy>Anil Negi</cp:lastModifiedBy>
  <cp:revision/>
  <cp:lastPrinted>2024-02-01T10:34:52Z</cp:lastPrinted>
  <dcterms:created xsi:type="dcterms:W3CDTF">2023-08-02T12:22:13Z</dcterms:created>
  <dcterms:modified xsi:type="dcterms:W3CDTF">2024-08-03T08:01:38Z</dcterms:modified>
  <cp:category/>
  <cp:contentStatus/>
</cp:coreProperties>
</file>